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155" windowHeight="11760" activeTab="1"/>
  </bookViews>
  <sheets>
    <sheet name="исх. данные" sheetId="4" r:id="rId1"/>
    <sheet name="приложение 10 " sheetId="1" r:id="rId2"/>
  </sheets>
  <definedNames>
    <definedName name="_xlnm.Print_Titles" localSheetId="0">'исх. данные'!$6:$7</definedName>
    <definedName name="_xlnm.Print_Titles" localSheetId="1">'приложение 10 '!$6:$7</definedName>
  </definedNames>
  <calcPr calcId="144525"/>
</workbook>
</file>

<file path=xl/calcChain.xml><?xml version="1.0" encoding="utf-8"?>
<calcChain xmlns="http://schemas.openxmlformats.org/spreadsheetml/2006/main">
  <c r="I39" i="4" l="1"/>
  <c r="L52" i="4" l="1"/>
  <c r="K52" i="4"/>
  <c r="J52" i="4"/>
  <c r="L51" i="4"/>
  <c r="K51" i="4"/>
  <c r="J51" i="4"/>
  <c r="L49" i="4"/>
  <c r="L50" i="4"/>
  <c r="K49" i="4"/>
  <c r="J49" i="4"/>
  <c r="L48" i="4"/>
  <c r="K48" i="4"/>
  <c r="J48" i="4"/>
  <c r="L47" i="4"/>
  <c r="K47" i="4"/>
  <c r="J47" i="4"/>
  <c r="K45" i="4"/>
  <c r="L45" i="4"/>
  <c r="J45" i="4"/>
  <c r="L53" i="4"/>
  <c r="K53" i="4"/>
  <c r="J53" i="4"/>
  <c r="L43" i="4"/>
  <c r="K43" i="4"/>
  <c r="J43" i="4"/>
  <c r="K37" i="4"/>
  <c r="L37" i="4"/>
  <c r="J37" i="4"/>
  <c r="K30" i="4"/>
  <c r="L30" i="4" s="1"/>
  <c r="J30" i="4"/>
  <c r="K16" i="4"/>
  <c r="J16" i="4"/>
  <c r="J12" i="1"/>
  <c r="K12" i="1"/>
  <c r="L12" i="1"/>
  <c r="M12" i="1"/>
  <c r="L15" i="4"/>
  <c r="K15" i="4"/>
  <c r="J15" i="4"/>
  <c r="K50" i="4" l="1"/>
  <c r="J50" i="4"/>
  <c r="K32" i="4"/>
  <c r="L32" i="4" s="1"/>
  <c r="J32" i="4"/>
  <c r="L12" i="4"/>
  <c r="K12" i="4"/>
  <c r="J12" i="4"/>
  <c r="L8" i="4"/>
  <c r="K8" i="4"/>
  <c r="J8" i="4"/>
  <c r="J40" i="4" l="1"/>
  <c r="K40" i="4" s="1"/>
  <c r="L40" i="4" s="1"/>
  <c r="J42" i="4"/>
  <c r="K42" i="4" l="1"/>
  <c r="H22" i="4"/>
  <c r="H21" i="4"/>
  <c r="H20" i="4"/>
  <c r="J35" i="4"/>
  <c r="K35" i="4" s="1"/>
  <c r="L35" i="4" s="1"/>
  <c r="L42" i="4" l="1"/>
  <c r="I36" i="1"/>
  <c r="G36" i="1" l="1"/>
  <c r="J24" i="4"/>
  <c r="K24" i="4" s="1"/>
  <c r="J21" i="4"/>
  <c r="K21" i="4" s="1"/>
  <c r="L21" i="4" s="1"/>
  <c r="J20" i="4"/>
  <c r="K20" i="4" s="1"/>
  <c r="L20" i="4" s="1"/>
  <c r="J46" i="4"/>
  <c r="K46" i="4" s="1"/>
  <c r="L46" i="4" s="1"/>
  <c r="J44" i="4"/>
  <c r="K44" i="4" s="1"/>
  <c r="L44" i="4" s="1"/>
  <c r="J41" i="4"/>
  <c r="K41" i="4" s="1"/>
  <c r="L41" i="4" s="1"/>
  <c r="J31" i="4"/>
  <c r="K31" i="4" s="1"/>
  <c r="L31" i="4" s="1"/>
  <c r="J36" i="1"/>
  <c r="H13" i="4"/>
  <c r="L24" i="4" l="1"/>
  <c r="H39" i="4" l="1"/>
  <c r="H26" i="4" l="1"/>
  <c r="J26" i="4" l="1"/>
  <c r="J20" i="1"/>
  <c r="J19" i="1"/>
  <c r="H47" i="4"/>
  <c r="H24" i="4"/>
  <c r="I20" i="1" s="1"/>
  <c r="I19" i="1"/>
  <c r="H25" i="4"/>
  <c r="I18" i="1"/>
  <c r="I13" i="1"/>
  <c r="I12" i="1"/>
  <c r="I11" i="1"/>
  <c r="I10" i="1"/>
  <c r="I38" i="1"/>
  <c r="I37" i="1"/>
  <c r="I35" i="1"/>
  <c r="I34" i="1"/>
  <c r="I33" i="1"/>
  <c r="I32" i="1"/>
  <c r="I30" i="1"/>
  <c r="I29" i="1"/>
  <c r="I28" i="1"/>
  <c r="I27" i="1"/>
  <c r="I26" i="1"/>
  <c r="I25" i="1"/>
  <c r="I24" i="1"/>
  <c r="I17" i="1"/>
  <c r="I14" i="1"/>
  <c r="I9" i="1"/>
  <c r="K26" i="4" l="1"/>
  <c r="K20" i="1"/>
  <c r="I16" i="1"/>
  <c r="G39" i="4"/>
  <c r="L26" i="4" l="1"/>
  <c r="M20" i="1" s="1"/>
  <c r="L20" i="1"/>
  <c r="M17" i="1"/>
  <c r="L17" i="1"/>
  <c r="L13" i="4"/>
  <c r="M9" i="1" s="1"/>
  <c r="F43" i="4"/>
  <c r="H33" i="1"/>
  <c r="F42" i="4"/>
  <c r="E43" i="4"/>
  <c r="E42" i="4"/>
  <c r="F33" i="1"/>
  <c r="D43" i="4"/>
  <c r="D42" i="4"/>
  <c r="E33" i="1" s="1"/>
  <c r="F39" i="4"/>
  <c r="G30" i="1" s="1"/>
  <c r="E39" i="4"/>
  <c r="D39" i="4"/>
  <c r="E30" i="1"/>
  <c r="G37" i="1"/>
  <c r="F37" i="1"/>
  <c r="E37" i="1"/>
  <c r="G39" i="1"/>
  <c r="F39" i="1"/>
  <c r="E39" i="1"/>
  <c r="G38" i="1"/>
  <c r="F38" i="1"/>
  <c r="E38" i="1"/>
  <c r="F36" i="1"/>
  <c r="E36" i="1"/>
  <c r="G34" i="1"/>
  <c r="F34" i="1"/>
  <c r="E34" i="1"/>
  <c r="G33" i="1"/>
  <c r="G32" i="1"/>
  <c r="F32" i="1"/>
  <c r="E32" i="1"/>
  <c r="F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1" i="1"/>
  <c r="E24" i="1"/>
  <c r="H21" i="1"/>
  <c r="G21" i="1"/>
  <c r="F21" i="1"/>
  <c r="G14" i="1"/>
  <c r="F14" i="1"/>
  <c r="E14" i="1"/>
  <c r="F13" i="1"/>
  <c r="E13" i="1"/>
  <c r="F12" i="1"/>
  <c r="E12" i="1"/>
  <c r="G11" i="1"/>
  <c r="F11" i="1"/>
  <c r="E11" i="1"/>
  <c r="F10" i="1"/>
  <c r="E10" i="1"/>
  <c r="G9" i="1"/>
  <c r="F9" i="1"/>
  <c r="E9" i="1"/>
  <c r="G53" i="4"/>
  <c r="H32" i="1"/>
  <c r="F21" i="4"/>
  <c r="F26" i="4"/>
  <c r="G19" i="1" s="1"/>
  <c r="E26" i="4"/>
  <c r="F19" i="1" s="1"/>
  <c r="D26" i="4"/>
  <c r="E19" i="1" s="1"/>
  <c r="F25" i="4"/>
  <c r="E25" i="4"/>
  <c r="D25" i="4"/>
  <c r="F24" i="4"/>
  <c r="G20" i="1" s="1"/>
  <c r="E24" i="4"/>
  <c r="F20" i="1" s="1"/>
  <c r="D24" i="4"/>
  <c r="E20" i="1" s="1"/>
  <c r="F22" i="4"/>
  <c r="E22" i="4"/>
  <c r="F18" i="1" s="1"/>
  <c r="D22" i="4"/>
  <c r="E21" i="4"/>
  <c r="F17" i="1" s="1"/>
  <c r="D21" i="4"/>
  <c r="E17" i="1" s="1"/>
  <c r="F20" i="4"/>
  <c r="G16" i="1" s="1"/>
  <c r="E20" i="4"/>
  <c r="D20" i="4"/>
  <c r="E16" i="1" s="1"/>
  <c r="H28" i="1"/>
  <c r="H29" i="1"/>
  <c r="H14" i="1"/>
  <c r="H11" i="1"/>
  <c r="H38" i="1"/>
  <c r="F47" i="4"/>
  <c r="G35" i="1" s="1"/>
  <c r="E47" i="4"/>
  <c r="F35" i="1" s="1"/>
  <c r="D47" i="4"/>
  <c r="E35" i="1" s="1"/>
  <c r="H34" i="1"/>
  <c r="H26" i="1"/>
  <c r="H24" i="1"/>
  <c r="G13" i="4"/>
  <c r="H9" i="1" s="1"/>
  <c r="E18" i="1"/>
  <c r="K16" i="1"/>
  <c r="M16" i="1"/>
  <c r="J16" i="1"/>
  <c r="L16" i="1"/>
  <c r="J9" i="4"/>
  <c r="J14" i="4" s="1"/>
  <c r="G17" i="1"/>
  <c r="J23" i="4"/>
  <c r="G18" i="1"/>
  <c r="H25" i="1"/>
  <c r="J10" i="1"/>
  <c r="J25" i="1"/>
  <c r="J34" i="1"/>
  <c r="H20" i="1"/>
  <c r="J38" i="4"/>
  <c r="H36" i="1"/>
  <c r="J9" i="1"/>
  <c r="J29" i="4"/>
  <c r="K29" i="4" s="1"/>
  <c r="L29" i="4" s="1"/>
  <c r="J17" i="1"/>
  <c r="H27" i="1"/>
  <c r="J14" i="1"/>
  <c r="J10" i="4"/>
  <c r="J38" i="1"/>
  <c r="J11" i="1"/>
  <c r="L34" i="1"/>
  <c r="M34" i="1"/>
  <c r="K38" i="1"/>
  <c r="K10" i="4" l="1"/>
  <c r="K23" i="4"/>
  <c r="L19" i="1" s="1"/>
  <c r="K19" i="1"/>
  <c r="K29" i="1"/>
  <c r="F16" i="1"/>
  <c r="H39" i="1"/>
  <c r="K13" i="4"/>
  <c r="L9" i="1" s="1"/>
  <c r="J13" i="4"/>
  <c r="K9" i="1" s="1"/>
  <c r="J29" i="1"/>
  <c r="I39" i="1"/>
  <c r="J32" i="1"/>
  <c r="K10" i="1"/>
  <c r="K9" i="4"/>
  <c r="K14" i="4" s="1"/>
  <c r="J33" i="1"/>
  <c r="K38" i="4"/>
  <c r="J26" i="1"/>
  <c r="J13" i="1"/>
  <c r="H37" i="1"/>
  <c r="L32" i="1"/>
  <c r="K32" i="1"/>
  <c r="L23" i="4"/>
  <c r="M19" i="1" s="1"/>
  <c r="J19" i="4"/>
  <c r="L11" i="1"/>
  <c r="K34" i="1"/>
  <c r="M38" i="1"/>
  <c r="L38" i="1"/>
  <c r="K11" i="1"/>
  <c r="J34" i="4"/>
  <c r="H30" i="1"/>
  <c r="H35" i="1"/>
  <c r="H18" i="1"/>
  <c r="K13" i="1"/>
  <c r="K17" i="4"/>
  <c r="J36" i="4"/>
  <c r="J28" i="1"/>
  <c r="H17" i="1"/>
  <c r="L10" i="4" l="1"/>
  <c r="J39" i="1"/>
  <c r="M32" i="1"/>
  <c r="L10" i="1"/>
  <c r="L9" i="4"/>
  <c r="K33" i="1"/>
  <c r="L29" i="1"/>
  <c r="L38" i="4"/>
  <c r="K25" i="1"/>
  <c r="K17" i="1"/>
  <c r="K19" i="4"/>
  <c r="K14" i="1"/>
  <c r="L13" i="1"/>
  <c r="J33" i="4"/>
  <c r="J24" i="1"/>
  <c r="J11" i="4"/>
  <c r="K36" i="4"/>
  <c r="K28" i="1"/>
  <c r="K34" i="4"/>
  <c r="K26" i="1"/>
  <c r="L14" i="4" l="1"/>
  <c r="M10" i="1" s="1"/>
  <c r="K36" i="1"/>
  <c r="M11" i="1"/>
  <c r="M29" i="1"/>
  <c r="K39" i="1"/>
  <c r="L17" i="4"/>
  <c r="M13" i="1" s="1"/>
  <c r="L33" i="1"/>
  <c r="M33" i="1"/>
  <c r="J37" i="1"/>
  <c r="L14" i="1"/>
  <c r="L19" i="4"/>
  <c r="M14" i="1" s="1"/>
  <c r="L26" i="1"/>
  <c r="L34" i="4"/>
  <c r="M26" i="1" s="1"/>
  <c r="J18" i="1"/>
  <c r="J22" i="4"/>
  <c r="L28" i="1"/>
  <c r="L36" i="4"/>
  <c r="M28" i="1" s="1"/>
  <c r="K11" i="4"/>
  <c r="J30" i="1"/>
  <c r="J27" i="1"/>
  <c r="L25" i="1"/>
  <c r="K33" i="4"/>
  <c r="K24" i="1"/>
  <c r="J35" i="1"/>
  <c r="L36" i="1" l="1"/>
  <c r="M39" i="1"/>
  <c r="L39" i="1"/>
  <c r="K35" i="1"/>
  <c r="J39" i="4"/>
  <c r="K30" i="1" s="1"/>
  <c r="K27" i="1"/>
  <c r="K22" i="4"/>
  <c r="K18" i="1"/>
  <c r="M25" i="1"/>
  <c r="L24" i="1"/>
  <c r="L33" i="4"/>
  <c r="K37" i="1"/>
  <c r="L11" i="4"/>
  <c r="M36" i="1" l="1"/>
  <c r="L22" i="4"/>
  <c r="M18" i="1" s="1"/>
  <c r="L18" i="1"/>
  <c r="L37" i="1"/>
  <c r="L16" i="4"/>
  <c r="M24" i="1"/>
  <c r="L27" i="1"/>
  <c r="K39" i="4"/>
  <c r="L30" i="1" s="1"/>
  <c r="L35" i="1"/>
  <c r="M35" i="1"/>
  <c r="L39" i="4" l="1"/>
  <c r="M30" i="1" s="1"/>
  <c r="M27" i="1"/>
  <c r="M37" i="1"/>
</calcChain>
</file>

<file path=xl/sharedStrings.xml><?xml version="1.0" encoding="utf-8"?>
<sst xmlns="http://schemas.openxmlformats.org/spreadsheetml/2006/main" count="243" uniqueCount="191">
  <si>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</si>
  <si>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</si>
  <si>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</si>
  <si>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</si>
  <si>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</si>
  <si>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</si>
  <si>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>Общие целевые показатели в области энергосбережения и повышения энергетической эффективности</t>
  </si>
  <si>
    <t>1.1</t>
  </si>
  <si>
    <t>1.2</t>
  </si>
  <si>
    <t>1.3</t>
  </si>
  <si>
    <t>1.4</t>
  </si>
  <si>
    <t>1.5</t>
  </si>
  <si>
    <t>1.6</t>
  </si>
  <si>
    <t>Целевые показатели в области энергосбережения и повышения энергетической эффективности в муниципальном секторе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</si>
  <si>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</si>
  <si>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</si>
  <si>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</si>
  <si>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</si>
  <si>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</si>
  <si>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</si>
  <si>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</si>
  <si>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Целевые показатели в области энергосбережения и повышения энергетической эффективности в жилищном фонде</t>
  </si>
  <si>
    <t>удельный расход тепловой энергии в многоквартирных домах (в расчете на 1 кв. метр общей площади)</t>
  </si>
  <si>
    <t>удельный расход холодной воды в многоквартирных домах (в расчете на 1 жителя)</t>
  </si>
  <si>
    <t>удельный расход горячей воды в многоквартирных домах (в расчете на 1 жителя)</t>
  </si>
  <si>
    <t>удельный расход электрической энергии в многоквартирных домах (в расчете на 1 кв. метр общей площади)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</si>
  <si>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</t>
  </si>
  <si>
    <t>удельный расход природного газа в многоквартирных домах с иными системами теплоснабжения (в расчете на 1 жителя)</t>
  </si>
  <si>
    <t>удельный суммарный расход энергетических ресурсов в многоквартирных домах</t>
  </si>
  <si>
    <t>Целевые показатели в области энергосбережения и повышения энергетической эффективности в системах коммунальной инфраструктуры</t>
  </si>
  <si>
    <t>удельный расход топлива на выработку тепловой энергии на тепловых электростанциях</t>
  </si>
  <si>
    <t>удельный расход топлива на выработку тепловой энергии на котельных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</si>
  <si>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</si>
  <si>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</si>
  <si>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</si>
  <si>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</si>
  <si>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</si>
  <si>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</si>
  <si>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</si>
  <si>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</si>
  <si>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</si>
  <si>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</si>
  <si>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</si>
  <si>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</si>
  <si>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</si>
  <si>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</si>
  <si>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</si>
  <si>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</si>
  <si>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</si>
  <si>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</si>
  <si>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</si>
  <si>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</si>
  <si>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</si>
  <si>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</si>
  <si>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</si>
  <si>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</si>
  <si>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</si>
  <si>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</si>
  <si>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</si>
  <si>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</si>
  <si>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%</t>
  </si>
  <si>
    <t>Расчетная формула</t>
  </si>
  <si>
    <t>шт.</t>
  </si>
  <si>
    <t>кВт*ч/м²</t>
  </si>
  <si>
    <t>Гкал/м²</t>
  </si>
  <si>
    <t>м³/чел.</t>
  </si>
  <si>
    <t>тыс. м³/чел.</t>
  </si>
  <si>
    <t>т.у.т./млн. Гкал</t>
  </si>
  <si>
    <t>т.у.т./ Гкал</t>
  </si>
  <si>
    <t>тыс. кВт*ч/ м³</t>
  </si>
  <si>
    <t>Объем потребления ЭЭ МО</t>
  </si>
  <si>
    <t>Объем потребления ТЭ МО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</si>
  <si>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</si>
  <si>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</t>
  </si>
  <si>
    <t>Объем потребления ТЭ, расчеты за которую осуществляются с использованием приборов учета</t>
  </si>
  <si>
    <t>Объем потребления природного газа, расчеты за который осуществляются с использованием приборов учета</t>
  </si>
  <si>
    <t>Объем потребления горячей воды МО</t>
  </si>
  <si>
    <t>Объем потребления холодной воды МО</t>
  </si>
  <si>
    <t>Объем потребления холодной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</si>
  <si>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использованием приборов учета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</si>
  <si>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</si>
  <si>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</si>
  <si>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</si>
  <si>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тыс. кВтч</t>
  </si>
  <si>
    <t>тыс. Гкал</t>
  </si>
  <si>
    <t>тыс. куб.м.</t>
  </si>
  <si>
    <t>тыс. куб.м</t>
  </si>
  <si>
    <t>кВтч</t>
  </si>
  <si>
    <t>кв.м.</t>
  </si>
  <si>
    <t>Площадь размещения муниципальных бюджетных учреждений и органов местного самоуправления</t>
  </si>
  <si>
    <t>куб.м</t>
  </si>
  <si>
    <t>чел.</t>
  </si>
  <si>
    <t>Объем потребления электрической энергии в муниципальных бюджетных учреждениях и органах местного самоуправления</t>
  </si>
  <si>
    <t>Численность сотрудников муниципальных бюджетных учреждений и органов местного самоуправления</t>
  </si>
  <si>
    <t>Объем потребления холодной воды в муниципальных бюджетных учреждениях и органах местного самоуправления</t>
  </si>
  <si>
    <t>Объем потребления горячей воды в муниципальных бюджетных учреждениях и органах местного самоуправления</t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</si>
  <si>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</si>
  <si>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</si>
  <si>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Объем бюджетных аасигнований, предусмотренный в городском бюджете на реализацию муниципальной программы в области энергосбережения и повышения энергетической эффективности в отчетном году</t>
  </si>
  <si>
    <t>Объем потребления электрической энергии в многоквартирных домах</t>
  </si>
  <si>
    <t>Площадь многоквартирных домов</t>
  </si>
  <si>
    <t>Количество жителей, проживающих в многоквартиных домах</t>
  </si>
  <si>
    <t>Объем потребления тепловой энергии в муниципальных бюджетных учреждениях и органах местного самоуправления</t>
  </si>
  <si>
    <t>Гкал</t>
  </si>
  <si>
    <t>Объем потребления тепловой энергии в многоквартирных домах</t>
  </si>
  <si>
    <t>Объем потребления природного газа  в многоквартирных домах с индивидуальными системами газового отопления</t>
  </si>
  <si>
    <t>тыс. куб. м.</t>
  </si>
  <si>
    <t>Площадь многоквартирных домов с индивидуальными системами газового отопления</t>
  </si>
  <si>
    <t>Объем потребления топлива на выработку тепловой энергии тепловыми электростанциями</t>
  </si>
  <si>
    <t>Объем выработки тепловой энергии  тепловыми электростанциями</t>
  </si>
  <si>
    <t>млн. Гкал</t>
  </si>
  <si>
    <t>Объем потребления топлива на выработку тепловой энергии котельными</t>
  </si>
  <si>
    <t>Объем выработки тепловой энергии  котельными</t>
  </si>
  <si>
    <t>Объем потребления электрической энергии для передачи тепловой энергии в системах теплоснабжения</t>
  </si>
  <si>
    <t>Объем потерь тепловой энергии при ее передаче</t>
  </si>
  <si>
    <t>Общий объем передаваемой тепловой энергии</t>
  </si>
  <si>
    <t>Объем потерь воды при ее передаче</t>
  </si>
  <si>
    <t>Объем потребления электрической энергии для передачи воды в системах водоснабжения</t>
  </si>
  <si>
    <t>Объем потребления электрической энергии в системах водоотведения</t>
  </si>
  <si>
    <t>Общий объем водоотведенной воды</t>
  </si>
  <si>
    <t>Объем потребления электрической энергии в системах уличного освещения</t>
  </si>
  <si>
    <t>Общая площадь уличного освещения территории МО</t>
  </si>
  <si>
    <t>кв. м.</t>
  </si>
  <si>
    <t>Целевые показатели в области энергосбережения и повышения энергетической эффективности в транспортном комплексе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</si>
  <si>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</si>
  <si>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</si>
  <si>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5.1</t>
  </si>
  <si>
    <t>5.2</t>
  </si>
  <si>
    <t>Объем потребления природного газа  в многоквартирных домах с иными системами  теплоснабжения</t>
  </si>
  <si>
    <t>Количество жителей проживающих в многоквартирных домах с иными системами теплоснабжения</t>
  </si>
  <si>
    <t>2012 (факт)</t>
  </si>
  <si>
    <t>2013(факт)</t>
  </si>
  <si>
    <t>2014(факт)</t>
  </si>
  <si>
    <t>2018(план)</t>
  </si>
  <si>
    <t>2019(план)</t>
  </si>
  <si>
    <t>2020(план)</t>
  </si>
  <si>
    <t>Показатель</t>
  </si>
  <si>
    <t>Ед. изм.</t>
  </si>
  <si>
    <t>№</t>
  </si>
  <si>
    <t>Объем потребления природного газа в муниципальных бюджетных учреждениях и органах местного самоуправления</t>
  </si>
  <si>
    <t xml:space="preserve">Объем потребления энергетических ресурсов в многоквартирных домах </t>
  </si>
  <si>
    <t>(ОП мо.ээ.учет/ОП мо.ээ.общий)*100</t>
  </si>
  <si>
    <t>(ОП мо.тэ.учет/ОП мо.тэ.общий)*100</t>
  </si>
  <si>
    <t>(ОП мо.хвс.учет/ОП мо.хвс.общий)*100</t>
  </si>
  <si>
    <t>(ОП мо.гвс.учет/ОП мо.гвс.общий)*100</t>
  </si>
  <si>
    <t>(ОП мо.газ.учет/ОП мо.газ.общий)*100</t>
  </si>
  <si>
    <t>(ОП мо.эр.воз/ОП мо.эр.общий)*100</t>
  </si>
  <si>
    <t>ОП ээ.мо/П мо</t>
  </si>
  <si>
    <t>ОП тэ.мо/П мо</t>
  </si>
  <si>
    <t>ОП хвс.мо/К мо</t>
  </si>
  <si>
    <t>ОП гвс.мо/К мо</t>
  </si>
  <si>
    <t>ОП газ.мо/К мо</t>
  </si>
  <si>
    <t>(ПЛАН эконом.мо/МП ба)*100</t>
  </si>
  <si>
    <t>-</t>
  </si>
  <si>
    <t>ОП мо.тэ.мкд/П мо.мкд</t>
  </si>
  <si>
    <t>ОП мо.ээ.мкд/П мо.мкд</t>
  </si>
  <si>
    <t>ОП мо.хвс.мкд/К мо.мкд</t>
  </si>
  <si>
    <t>ОП мо.гвс.мкд/К мо.мкд</t>
  </si>
  <si>
    <t>ОП мо.газ.учет.мкд/ П мо.газ.учет.мкд</t>
  </si>
  <si>
    <t>ОП мо.газ.мкд/ К мо.газ.мкд</t>
  </si>
  <si>
    <t>ОП мо.сумм.мкд/П мо.мкд</t>
  </si>
  <si>
    <t>ОП мо.тэс.тэ/ОВ мо.тыс.тэ</t>
  </si>
  <si>
    <t>ОП мо.к.тэ/ОВ мо.к.тэ</t>
  </si>
  <si>
    <t>ОП мо.ээ.передача тэ/ОТ мо.тн</t>
  </si>
  <si>
    <t>(О мо.тэ.потери/ОП мо.тэ.общий)*100</t>
  </si>
  <si>
    <t>(ОП мо.вс.передача/(ОП мо.гвс.общий+ОП мо.хвс.общий+Опмо.вс.передача))*100</t>
  </si>
  <si>
    <t>ОП мо.ээ.водоотведение/О мо.вс.отведение</t>
  </si>
  <si>
    <t>ОП мо.ээ.освещение/П мо.освещение</t>
  </si>
  <si>
    <t>Объем транспортировки теплоносителя в системе теплоснабжени</t>
  </si>
  <si>
    <t>ОП мо.ээ.передача вс/(ОП мо.гвс.общий+ОП мо.хвс.общий+ОП мо.вс.передача)</t>
  </si>
  <si>
    <t>Наименование целевого показателя</t>
  </si>
  <si>
    <t>тыс. м³/м².</t>
  </si>
  <si>
    <t>т.у.т./м²</t>
  </si>
  <si>
    <t>кВт*ч/м³</t>
  </si>
  <si>
    <t>тыс. кВт*ч/ тыс. м³</t>
  </si>
  <si>
    <t xml:space="preserve">    к муниципальной программе "Развитие топливно-энергетического комплекса,   </t>
  </si>
  <si>
    <t xml:space="preserve">    жилищно-коммунального и дорожного хозяйства городского округа "город Клинцы</t>
  </si>
  <si>
    <t>Целевые значения показателей (индикаторов)</t>
  </si>
  <si>
    <t xml:space="preserve">Единицы                                 измерения </t>
  </si>
  <si>
    <t xml:space="preserve">Приложение 1 </t>
  </si>
  <si>
    <t xml:space="preserve">к подпрограмме "Энергосбережение и повышение энергетической эффективности на </t>
  </si>
  <si>
    <t>территории городского округа "город Клинцы Брянской области"" (2016-2020 годы)</t>
  </si>
  <si>
    <t>Общие сведения (исходные данные) для расчета целевых показателей Подрограммы.</t>
  </si>
  <si>
    <t>Объем потребления горячей воды  в многоквартирных домах</t>
  </si>
  <si>
    <t>2015(факт)</t>
  </si>
  <si>
    <t>Объем потребления холодной воды в многоквартирных домах</t>
  </si>
  <si>
    <t>2016 (факт)</t>
  </si>
  <si>
    <t>Приложение 10</t>
  </si>
  <si>
    <t>2017(факт)</t>
  </si>
  <si>
    <t>Сведения о показателях (индикаторах) муниципальной программы "Развитие топливно-энергетического комплекса, жилищно-коммунального и дорожного хозяйства городского округа "город Клинцы Брянской области"" (2016-2022 годы), подпрограммы "Энергосбережение и повышение энергетической эффективности на территории городского округа "город Клинцы Брянской области"" (2016-2020 годы).</t>
  </si>
  <si>
    <t xml:space="preserve">    Брянской области"" (2016-2022 годы)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</si>
</sst>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11" fillId="0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/>
    <xf numFmtId="0" fontId="0" fillId="0" borderId="0" xfId="0" applyBorder="1"/>
    <xf numFmtId="165" fontId="11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0" xfId="0" applyFill="1" applyBorder="1"/>
    <xf numFmtId="2" fontId="11" fillId="0" borderId="7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shrinkToFi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2" zoomScale="130" zoomScaleNormal="130" workbookViewId="0">
      <selection activeCell="J28" sqref="J28"/>
    </sheetView>
  </sheetViews>
  <sheetFormatPr defaultRowHeight="15" x14ac:dyDescent="0.25"/>
  <cols>
    <col min="1" max="1" width="3" bestFit="1" customWidth="1"/>
    <col min="2" max="2" width="42.28515625" customWidth="1"/>
    <col min="6" max="9" width="9.140625" style="37"/>
  </cols>
  <sheetData>
    <row r="1" spans="1:14" ht="16.5" customHeight="1" x14ac:dyDescent="0.25">
      <c r="A1" s="58"/>
      <c r="B1" s="58"/>
      <c r="C1" s="58"/>
      <c r="E1" s="59" t="s">
        <v>179</v>
      </c>
      <c r="F1" s="59"/>
      <c r="G1" s="59"/>
      <c r="H1" s="59"/>
      <c r="I1" s="59"/>
      <c r="J1" s="59"/>
      <c r="K1" s="59"/>
      <c r="L1" s="59"/>
    </row>
    <row r="2" spans="1:14" ht="15.75" x14ac:dyDescent="0.25">
      <c r="A2" s="60"/>
      <c r="B2" s="60"/>
      <c r="C2" s="60"/>
      <c r="E2" s="59" t="s">
        <v>180</v>
      </c>
      <c r="F2" s="59"/>
      <c r="G2" s="59"/>
      <c r="H2" s="59"/>
      <c r="I2" s="59"/>
      <c r="J2" s="59"/>
      <c r="K2" s="59"/>
      <c r="L2" s="59"/>
    </row>
    <row r="3" spans="1:14" ht="15.75" x14ac:dyDescent="0.25">
      <c r="A3" s="1"/>
      <c r="B3" s="1"/>
      <c r="C3" s="1"/>
      <c r="E3" s="59" t="s">
        <v>181</v>
      </c>
      <c r="F3" s="59"/>
      <c r="G3" s="59"/>
      <c r="H3" s="59"/>
      <c r="I3" s="59"/>
      <c r="J3" s="59"/>
      <c r="K3" s="59"/>
      <c r="L3" s="59"/>
    </row>
    <row r="4" spans="1:14" ht="10.5" customHeight="1" x14ac:dyDescent="0.25">
      <c r="A4" s="1"/>
      <c r="B4" s="1"/>
      <c r="C4" s="1"/>
      <c r="E4" s="2"/>
      <c r="F4" s="38"/>
      <c r="G4" s="38"/>
      <c r="H4" s="38"/>
      <c r="I4" s="38"/>
      <c r="J4" s="2"/>
      <c r="K4" s="2"/>
      <c r="L4" s="2"/>
    </row>
    <row r="5" spans="1:14" ht="15.75" x14ac:dyDescent="0.25">
      <c r="A5" s="57" t="s">
        <v>182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7.5" customHeight="1" x14ac:dyDescent="0.25"/>
    <row r="7" spans="1:14" x14ac:dyDescent="0.25">
      <c r="A7" s="24" t="s">
        <v>138</v>
      </c>
      <c r="B7" s="25" t="s">
        <v>136</v>
      </c>
      <c r="C7" s="26" t="s">
        <v>137</v>
      </c>
      <c r="D7" s="26" t="s">
        <v>130</v>
      </c>
      <c r="E7" s="26" t="s">
        <v>131</v>
      </c>
      <c r="F7" s="39" t="s">
        <v>132</v>
      </c>
      <c r="G7" s="39" t="s">
        <v>184</v>
      </c>
      <c r="H7" s="39" t="s">
        <v>186</v>
      </c>
      <c r="I7" s="39" t="s">
        <v>188</v>
      </c>
      <c r="J7" s="26" t="s">
        <v>133</v>
      </c>
      <c r="K7" s="26" t="s">
        <v>134</v>
      </c>
      <c r="L7" s="26" t="s">
        <v>135</v>
      </c>
    </row>
    <row r="8" spans="1:14" x14ac:dyDescent="0.25">
      <c r="A8" s="27">
        <v>1</v>
      </c>
      <c r="B8" s="28" t="s">
        <v>70</v>
      </c>
      <c r="C8" s="29" t="s">
        <v>83</v>
      </c>
      <c r="D8" s="30">
        <v>106605</v>
      </c>
      <c r="E8" s="30">
        <v>107960</v>
      </c>
      <c r="F8" s="34">
        <v>105327</v>
      </c>
      <c r="G8" s="40">
        <v>108195</v>
      </c>
      <c r="H8" s="40">
        <v>107739.9</v>
      </c>
      <c r="I8" s="40">
        <v>104747.5</v>
      </c>
      <c r="J8" s="31">
        <f>I8*0.99</f>
        <v>103700.02499999999</v>
      </c>
      <c r="K8" s="31">
        <f>J8*0.99</f>
        <v>102663.02475</v>
      </c>
      <c r="L8" s="31">
        <f>K8*0.99</f>
        <v>101636.3945025</v>
      </c>
      <c r="M8" s="43"/>
      <c r="N8" s="51"/>
    </row>
    <row r="9" spans="1:14" x14ac:dyDescent="0.25">
      <c r="A9" s="27">
        <v>2</v>
      </c>
      <c r="B9" s="28" t="s">
        <v>71</v>
      </c>
      <c r="C9" s="29" t="s">
        <v>84</v>
      </c>
      <c r="D9" s="30">
        <v>287</v>
      </c>
      <c r="E9" s="30">
        <v>265</v>
      </c>
      <c r="F9" s="34">
        <v>276</v>
      </c>
      <c r="G9" s="40">
        <v>272</v>
      </c>
      <c r="H9" s="40">
        <v>268.2</v>
      </c>
      <c r="I9" s="40">
        <v>251.87</v>
      </c>
      <c r="J9" s="40">
        <f t="shared" ref="J9:L10" si="0">I9*0.99</f>
        <v>249.35130000000001</v>
      </c>
      <c r="K9" s="40">
        <f t="shared" si="0"/>
        <v>246.857787</v>
      </c>
      <c r="L9" s="40">
        <f t="shared" si="0"/>
        <v>244.38920913000001</v>
      </c>
      <c r="M9" s="43"/>
      <c r="N9" s="54"/>
    </row>
    <row r="10" spans="1:14" x14ac:dyDescent="0.25">
      <c r="A10" s="27">
        <v>3</v>
      </c>
      <c r="B10" s="28" t="s">
        <v>77</v>
      </c>
      <c r="C10" s="29" t="s">
        <v>85</v>
      </c>
      <c r="D10" s="30">
        <v>3746</v>
      </c>
      <c r="E10" s="30">
        <v>3380</v>
      </c>
      <c r="F10" s="34">
        <v>3258</v>
      </c>
      <c r="G10" s="40">
        <v>3126</v>
      </c>
      <c r="H10" s="40">
        <v>2990.4</v>
      </c>
      <c r="I10" s="40">
        <v>3246.69</v>
      </c>
      <c r="J10" s="40">
        <f t="shared" si="0"/>
        <v>3214.2231000000002</v>
      </c>
      <c r="K10" s="40">
        <f t="shared" si="0"/>
        <v>3182.0808690000003</v>
      </c>
      <c r="L10" s="40">
        <f t="shared" si="0"/>
        <v>3150.2600603100004</v>
      </c>
      <c r="M10" s="37"/>
    </row>
    <row r="11" spans="1:14" x14ac:dyDescent="0.25">
      <c r="A11" s="27">
        <v>4</v>
      </c>
      <c r="B11" s="28" t="s">
        <v>76</v>
      </c>
      <c r="C11" s="29" t="s">
        <v>86</v>
      </c>
      <c r="D11" s="30">
        <v>523</v>
      </c>
      <c r="E11" s="30">
        <v>496</v>
      </c>
      <c r="F11" s="34">
        <v>451</v>
      </c>
      <c r="G11" s="40">
        <v>302</v>
      </c>
      <c r="H11" s="40">
        <v>302.72000000000003</v>
      </c>
      <c r="I11" s="40">
        <v>287.3</v>
      </c>
      <c r="J11" s="40">
        <f t="shared" ref="J11:L11" si="1">I11*0.99</f>
        <v>284.42700000000002</v>
      </c>
      <c r="K11" s="40">
        <f>J11*0.99</f>
        <v>281.58273000000003</v>
      </c>
      <c r="L11" s="40">
        <f t="shared" si="1"/>
        <v>278.7669027</v>
      </c>
      <c r="M11" s="37"/>
    </row>
    <row r="12" spans="1:14" x14ac:dyDescent="0.25">
      <c r="A12" s="27">
        <v>5</v>
      </c>
      <c r="B12" s="28" t="s">
        <v>72</v>
      </c>
      <c r="C12" s="29" t="s">
        <v>86</v>
      </c>
      <c r="D12" s="30">
        <v>106453</v>
      </c>
      <c r="E12" s="30">
        <v>102192</v>
      </c>
      <c r="F12" s="34">
        <v>103678</v>
      </c>
      <c r="G12" s="40">
        <v>102288</v>
      </c>
      <c r="H12" s="40">
        <v>72411.8</v>
      </c>
      <c r="I12" s="40">
        <v>89295.07</v>
      </c>
      <c r="J12" s="40">
        <f>I12*0.99</f>
        <v>88402.119300000006</v>
      </c>
      <c r="K12" s="40">
        <f>J12*0.99</f>
        <v>87518.098106999998</v>
      </c>
      <c r="L12" s="40">
        <f>K12*0.99</f>
        <v>86642.917125929991</v>
      </c>
      <c r="M12" s="37"/>
    </row>
    <row r="13" spans="1:14" ht="22.5" x14ac:dyDescent="0.25">
      <c r="A13" s="27">
        <v>6</v>
      </c>
      <c r="B13" s="28" t="s">
        <v>73</v>
      </c>
      <c r="C13" s="29" t="s">
        <v>83</v>
      </c>
      <c r="D13" s="30">
        <v>106605</v>
      </c>
      <c r="E13" s="30">
        <v>107960</v>
      </c>
      <c r="F13" s="34">
        <v>105327</v>
      </c>
      <c r="G13" s="40">
        <f t="shared" ref="G13:L13" si="2">G8</f>
        <v>108195</v>
      </c>
      <c r="H13" s="40">
        <f>H8</f>
        <v>107739.9</v>
      </c>
      <c r="I13" s="40">
        <v>104747.5</v>
      </c>
      <c r="J13" s="40">
        <f t="shared" si="2"/>
        <v>103700.02499999999</v>
      </c>
      <c r="K13" s="40">
        <f t="shared" si="2"/>
        <v>102663.02475</v>
      </c>
      <c r="L13" s="40">
        <f t="shared" si="2"/>
        <v>101636.3945025</v>
      </c>
      <c r="M13" s="37"/>
    </row>
    <row r="14" spans="1:14" ht="22.5" x14ac:dyDescent="0.25">
      <c r="A14" s="27">
        <v>7</v>
      </c>
      <c r="B14" s="28" t="s">
        <v>74</v>
      </c>
      <c r="C14" s="29" t="s">
        <v>84</v>
      </c>
      <c r="D14" s="30">
        <v>187</v>
      </c>
      <c r="E14" s="30">
        <v>145</v>
      </c>
      <c r="F14" s="34">
        <v>196</v>
      </c>
      <c r="G14" s="40">
        <v>184</v>
      </c>
      <c r="H14" s="40">
        <v>152.9</v>
      </c>
      <c r="I14" s="40">
        <v>145.66</v>
      </c>
      <c r="J14" s="40">
        <f>J9*0.59</f>
        <v>147.117267</v>
      </c>
      <c r="K14" s="40">
        <f>K9*0.61</f>
        <v>150.58325006999999</v>
      </c>
      <c r="L14" s="40">
        <f>L9*0.62</f>
        <v>151.5213096606</v>
      </c>
      <c r="M14" s="55"/>
      <c r="N14" s="37"/>
    </row>
    <row r="15" spans="1:14" ht="33.75" x14ac:dyDescent="0.25">
      <c r="A15" s="27">
        <v>8</v>
      </c>
      <c r="B15" s="32" t="s">
        <v>78</v>
      </c>
      <c r="C15" s="29" t="s">
        <v>85</v>
      </c>
      <c r="D15" s="30">
        <v>1791</v>
      </c>
      <c r="E15" s="30">
        <v>1467</v>
      </c>
      <c r="F15" s="34">
        <v>1667</v>
      </c>
      <c r="G15" s="40">
        <v>1809</v>
      </c>
      <c r="H15" s="40">
        <v>1825.8</v>
      </c>
      <c r="I15" s="40">
        <v>1873.4</v>
      </c>
      <c r="J15" s="40">
        <f>J10*0.59</f>
        <v>1896.391629</v>
      </c>
      <c r="K15" s="40">
        <f>K10*0.6</f>
        <v>1909.2485214000001</v>
      </c>
      <c r="L15" s="40">
        <f>L10*0.61</f>
        <v>1921.6586367891002</v>
      </c>
      <c r="M15" s="37"/>
    </row>
    <row r="16" spans="1:14" ht="33.75" x14ac:dyDescent="0.25">
      <c r="A16" s="27">
        <v>9</v>
      </c>
      <c r="B16" s="32" t="s">
        <v>79</v>
      </c>
      <c r="C16" s="29" t="s">
        <v>86</v>
      </c>
      <c r="D16" s="30">
        <v>66</v>
      </c>
      <c r="E16" s="30">
        <v>243</v>
      </c>
      <c r="F16" s="34">
        <v>318</v>
      </c>
      <c r="G16" s="40">
        <v>227</v>
      </c>
      <c r="H16" s="40">
        <v>235.14</v>
      </c>
      <c r="I16" s="40">
        <v>244.9</v>
      </c>
      <c r="J16" s="40">
        <f>J11*0.83</f>
        <v>236.07441</v>
      </c>
      <c r="K16" s="40">
        <f>K11*0.82</f>
        <v>230.8978386</v>
      </c>
      <c r="L16" s="40">
        <f>L11*0.8</f>
        <v>223.01352216000001</v>
      </c>
      <c r="M16" s="37"/>
    </row>
    <row r="17" spans="1:14" ht="33.75" x14ac:dyDescent="0.25">
      <c r="A17" s="27">
        <v>10</v>
      </c>
      <c r="B17" s="28" t="s">
        <v>75</v>
      </c>
      <c r="C17" s="29" t="s">
        <v>86</v>
      </c>
      <c r="D17" s="30">
        <v>84664</v>
      </c>
      <c r="E17" s="30">
        <v>81805</v>
      </c>
      <c r="F17" s="34">
        <v>85959</v>
      </c>
      <c r="G17" s="40">
        <v>78106</v>
      </c>
      <c r="H17" s="40">
        <v>60398.1</v>
      </c>
      <c r="I17" s="40">
        <v>78457.539999999994</v>
      </c>
      <c r="J17" s="40">
        <v>78416</v>
      </c>
      <c r="K17" s="40">
        <f>K12*0.89</f>
        <v>77891.107315229994</v>
      </c>
      <c r="L17" s="40">
        <f>L12*0.9</f>
        <v>77978.625413336995</v>
      </c>
      <c r="M17" s="37"/>
    </row>
    <row r="18" spans="1:14" ht="33.75" x14ac:dyDescent="0.25">
      <c r="A18" s="27">
        <v>11</v>
      </c>
      <c r="B18" s="32" t="s">
        <v>80</v>
      </c>
      <c r="C18" s="33" t="s">
        <v>81</v>
      </c>
      <c r="D18" s="30">
        <v>0</v>
      </c>
      <c r="E18" s="30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7"/>
    </row>
    <row r="19" spans="1:14" ht="22.5" x14ac:dyDescent="0.25">
      <c r="A19" s="27">
        <v>12</v>
      </c>
      <c r="B19" s="32" t="s">
        <v>82</v>
      </c>
      <c r="C19" s="33" t="s">
        <v>81</v>
      </c>
      <c r="D19" s="30">
        <v>47495</v>
      </c>
      <c r="E19" s="30">
        <v>45764</v>
      </c>
      <c r="F19" s="34">
        <v>45337</v>
      </c>
      <c r="G19" s="40">
        <v>43132</v>
      </c>
      <c r="H19" s="40">
        <v>40846</v>
      </c>
      <c r="I19" s="40">
        <v>39878.230000000003</v>
      </c>
      <c r="J19" s="40">
        <f t="shared" ref="J19:L19" si="3">I19*0.991</f>
        <v>39519.325930000006</v>
      </c>
      <c r="K19" s="40">
        <f t="shared" si="3"/>
        <v>39163.651996630004</v>
      </c>
      <c r="L19" s="40">
        <f t="shared" si="3"/>
        <v>38811.179128660333</v>
      </c>
      <c r="M19" s="43"/>
      <c r="N19" s="37"/>
    </row>
    <row r="20" spans="1:14" ht="33.75" x14ac:dyDescent="0.25">
      <c r="A20" s="27">
        <v>13</v>
      </c>
      <c r="B20" s="28" t="s">
        <v>92</v>
      </c>
      <c r="C20" s="29" t="s">
        <v>87</v>
      </c>
      <c r="D20" s="30">
        <f>1609423+152072</f>
        <v>1761495</v>
      </c>
      <c r="E20" s="30">
        <f>1608317+158570</f>
        <v>1766887</v>
      </c>
      <c r="F20" s="34">
        <f>1838303+165478</f>
        <v>2003781</v>
      </c>
      <c r="G20" s="40">
        <v>2835081</v>
      </c>
      <c r="H20" s="40">
        <f>2264765+153683</f>
        <v>2418448</v>
      </c>
      <c r="I20" s="40">
        <v>2347724</v>
      </c>
      <c r="J20" s="40">
        <f>I20*0.9957</f>
        <v>2337628.7867999999</v>
      </c>
      <c r="K20" s="40">
        <f t="shared" ref="K20:L20" si="4">J20*0.9957</f>
        <v>2327576.9830167601</v>
      </c>
      <c r="L20" s="40">
        <f t="shared" si="4"/>
        <v>2317568.4019897883</v>
      </c>
    </row>
    <row r="21" spans="1:14" ht="33.75" x14ac:dyDescent="0.25">
      <c r="A21" s="27">
        <v>14</v>
      </c>
      <c r="B21" s="28" t="s">
        <v>102</v>
      </c>
      <c r="C21" s="29" t="s">
        <v>103</v>
      </c>
      <c r="D21" s="30">
        <f>14882+3536+1111</f>
        <v>19529</v>
      </c>
      <c r="E21" s="30">
        <f>13897+1508+903</f>
        <v>16308</v>
      </c>
      <c r="F21" s="34">
        <f>16144+1255+910</f>
        <v>18309</v>
      </c>
      <c r="G21" s="40">
        <v>15534</v>
      </c>
      <c r="H21" s="40">
        <f>14500.319+532.077</f>
        <v>15032.395999999999</v>
      </c>
      <c r="I21" s="40">
        <v>17854.63</v>
      </c>
      <c r="J21" s="40">
        <f>I21*0.99</f>
        <v>17676.083699999999</v>
      </c>
      <c r="K21" s="40">
        <f t="shared" ref="K21:L21" si="5">J21*0.99</f>
        <v>17499.322862999998</v>
      </c>
      <c r="L21" s="40">
        <f t="shared" si="5"/>
        <v>17324.329634369999</v>
      </c>
    </row>
    <row r="22" spans="1:14" ht="33.75" x14ac:dyDescent="0.25">
      <c r="A22" s="27">
        <v>15</v>
      </c>
      <c r="B22" s="28" t="s">
        <v>94</v>
      </c>
      <c r="C22" s="29" t="s">
        <v>90</v>
      </c>
      <c r="D22" s="30">
        <f>87015+1900+5515</f>
        <v>94430</v>
      </c>
      <c r="E22" s="30">
        <f>95695+305+4219</f>
        <v>100219</v>
      </c>
      <c r="F22" s="34">
        <f>66597+2685</f>
        <v>69282</v>
      </c>
      <c r="G22" s="40">
        <v>68443</v>
      </c>
      <c r="H22" s="40">
        <f>62494.485+2196</f>
        <v>64690.485000000001</v>
      </c>
      <c r="I22" s="40">
        <v>64276</v>
      </c>
      <c r="J22" s="40">
        <f t="shared" ref="J22:L22" si="6">I22*0.99</f>
        <v>63633.24</v>
      </c>
      <c r="K22" s="40">
        <f>J22*0.99</f>
        <v>62996.907599999999</v>
      </c>
      <c r="L22" s="40">
        <f t="shared" si="6"/>
        <v>62366.938523999997</v>
      </c>
    </row>
    <row r="23" spans="1:14" ht="33.75" x14ac:dyDescent="0.25">
      <c r="A23" s="27">
        <v>16</v>
      </c>
      <c r="B23" s="28" t="s">
        <v>95</v>
      </c>
      <c r="C23" s="29" t="s">
        <v>90</v>
      </c>
      <c r="D23" s="30">
        <v>1033</v>
      </c>
      <c r="E23" s="30">
        <v>813</v>
      </c>
      <c r="F23" s="34">
        <v>889</v>
      </c>
      <c r="G23" s="40">
        <v>995</v>
      </c>
      <c r="H23" s="40">
        <v>2154.9859999999999</v>
      </c>
      <c r="I23" s="40">
        <v>2068.83</v>
      </c>
      <c r="J23" s="40">
        <f t="shared" ref="J23:L23" si="7">I23*0.998</f>
        <v>2064.6923400000001</v>
      </c>
      <c r="K23" s="40">
        <f t="shared" si="7"/>
        <v>2060.5629553200001</v>
      </c>
      <c r="L23" s="40">
        <f t="shared" si="7"/>
        <v>2056.4418294093603</v>
      </c>
    </row>
    <row r="24" spans="1:14" ht="33.75" x14ac:dyDescent="0.25">
      <c r="A24" s="27">
        <v>17</v>
      </c>
      <c r="B24" s="28" t="s">
        <v>139</v>
      </c>
      <c r="C24" s="29" t="s">
        <v>90</v>
      </c>
      <c r="D24" s="30">
        <f>(128.7+9)*1000</f>
        <v>137700</v>
      </c>
      <c r="E24" s="30">
        <f>(172+9)*1000</f>
        <v>181000</v>
      </c>
      <c r="F24" s="34">
        <f>(117+9)*1000</f>
        <v>126000</v>
      </c>
      <c r="G24" s="40">
        <v>103500</v>
      </c>
      <c r="H24" s="40">
        <f>(72.224+5.173)*1000</f>
        <v>77397</v>
      </c>
      <c r="I24" s="40">
        <v>76018</v>
      </c>
      <c r="J24" s="40">
        <f>I24*0.99</f>
        <v>75257.819999999992</v>
      </c>
      <c r="K24" s="40">
        <f t="shared" ref="K24:L24" si="8">J24*0.99</f>
        <v>74505.241799999989</v>
      </c>
      <c r="L24" s="40">
        <f t="shared" si="8"/>
        <v>73760.189381999982</v>
      </c>
    </row>
    <row r="25" spans="1:14" ht="22.5" x14ac:dyDescent="0.25">
      <c r="A25" s="27">
        <v>18</v>
      </c>
      <c r="B25" s="28" t="s">
        <v>89</v>
      </c>
      <c r="C25" s="29" t="s">
        <v>88</v>
      </c>
      <c r="D25" s="30">
        <f>88666+6424</f>
        <v>95090</v>
      </c>
      <c r="E25" s="30">
        <f>89095+6424</f>
        <v>95519</v>
      </c>
      <c r="F25" s="34">
        <f>93457+6424</f>
        <v>99881</v>
      </c>
      <c r="G25" s="34">
        <v>99803.199999999997</v>
      </c>
      <c r="H25" s="34">
        <f>95753.85+5679.8</f>
        <v>101433.65000000001</v>
      </c>
      <c r="I25" s="34">
        <v>101546.65</v>
      </c>
      <c r="J25" s="34">
        <v>101546.65</v>
      </c>
      <c r="K25" s="34">
        <v>101546.65</v>
      </c>
      <c r="L25" s="34">
        <v>101546.65</v>
      </c>
      <c r="M25" s="53"/>
    </row>
    <row r="26" spans="1:14" ht="33.75" x14ac:dyDescent="0.25">
      <c r="A26" s="27">
        <v>19</v>
      </c>
      <c r="B26" s="28" t="s">
        <v>93</v>
      </c>
      <c r="C26" s="29" t="s">
        <v>91</v>
      </c>
      <c r="D26" s="30">
        <f>1900+137</f>
        <v>2037</v>
      </c>
      <c r="E26" s="30">
        <f>1734+141</f>
        <v>1875</v>
      </c>
      <c r="F26" s="34">
        <f>1600+142</f>
        <v>1742</v>
      </c>
      <c r="G26" s="34">
        <v>1791</v>
      </c>
      <c r="H26" s="34">
        <f>1593+141</f>
        <v>1734</v>
      </c>
      <c r="I26" s="34">
        <v>1659</v>
      </c>
      <c r="J26" s="34">
        <f t="shared" ref="J26:L26" si="9">I26</f>
        <v>1659</v>
      </c>
      <c r="K26" s="34">
        <f t="shared" si="9"/>
        <v>1659</v>
      </c>
      <c r="L26" s="34">
        <f t="shared" si="9"/>
        <v>1659</v>
      </c>
      <c r="M26" s="53"/>
      <c r="N26" s="51"/>
    </row>
    <row r="27" spans="1:14" ht="56.25" x14ac:dyDescent="0.25">
      <c r="A27" s="27">
        <v>20</v>
      </c>
      <c r="B27" s="28" t="s">
        <v>96</v>
      </c>
      <c r="C27" s="29" t="s">
        <v>97</v>
      </c>
      <c r="D27" s="30">
        <v>42505</v>
      </c>
      <c r="E27" s="30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</row>
    <row r="28" spans="1:14" ht="56.25" x14ac:dyDescent="0.25">
      <c r="A28" s="27">
        <v>21</v>
      </c>
      <c r="B28" s="28" t="s">
        <v>98</v>
      </c>
      <c r="C28" s="29" t="s">
        <v>97</v>
      </c>
      <c r="D28" s="30">
        <v>2499</v>
      </c>
      <c r="E28" s="30">
        <v>9411.7999999999993</v>
      </c>
      <c r="F28" s="34">
        <v>11612.8</v>
      </c>
      <c r="G28" s="34">
        <v>8871.3060999999998</v>
      </c>
      <c r="H28" s="52">
        <v>9603.7436799999996</v>
      </c>
      <c r="I28" s="52">
        <v>7852.7115999999996</v>
      </c>
      <c r="J28" s="52">
        <v>1196.7459699999999</v>
      </c>
      <c r="K28" s="34">
        <v>1000</v>
      </c>
      <c r="L28" s="34">
        <v>1000</v>
      </c>
    </row>
    <row r="29" spans="1:14" ht="22.5" x14ac:dyDescent="0.25">
      <c r="A29" s="27">
        <v>22</v>
      </c>
      <c r="B29" s="28" t="s">
        <v>104</v>
      </c>
      <c r="C29" s="29" t="s">
        <v>103</v>
      </c>
      <c r="D29" s="30">
        <v>118520</v>
      </c>
      <c r="E29" s="30">
        <v>91747</v>
      </c>
      <c r="F29" s="34">
        <v>79684</v>
      </c>
      <c r="G29" s="40">
        <v>109097</v>
      </c>
      <c r="H29" s="40">
        <v>106406</v>
      </c>
      <c r="I29" s="40">
        <v>112055.74</v>
      </c>
      <c r="J29" s="40">
        <f t="shared" ref="J29:L30" si="10">I29*0.99</f>
        <v>110935.1826</v>
      </c>
      <c r="K29" s="40">
        <f t="shared" si="10"/>
        <v>109825.830774</v>
      </c>
      <c r="L29" s="40">
        <f t="shared" si="10"/>
        <v>108727.57246626</v>
      </c>
    </row>
    <row r="30" spans="1:14" ht="22.5" x14ac:dyDescent="0.25">
      <c r="A30" s="27">
        <v>23</v>
      </c>
      <c r="B30" s="28" t="s">
        <v>185</v>
      </c>
      <c r="C30" s="29" t="s">
        <v>90</v>
      </c>
      <c r="D30" s="30">
        <v>1892611</v>
      </c>
      <c r="E30" s="30">
        <v>2120375</v>
      </c>
      <c r="F30" s="34">
        <v>1387342</v>
      </c>
      <c r="G30" s="40">
        <v>1251824</v>
      </c>
      <c r="H30" s="40">
        <v>1456561</v>
      </c>
      <c r="I30" s="40">
        <v>1651814</v>
      </c>
      <c r="J30" s="40">
        <f>I30*0.99</f>
        <v>1635295.8599999999</v>
      </c>
      <c r="K30" s="40">
        <f t="shared" si="10"/>
        <v>1618942.9013999999</v>
      </c>
      <c r="L30" s="40">
        <f t="shared" si="10"/>
        <v>1602753.4723859997</v>
      </c>
    </row>
    <row r="31" spans="1:14" ht="22.5" x14ac:dyDescent="0.25">
      <c r="A31" s="27">
        <v>24</v>
      </c>
      <c r="B31" s="28" t="s">
        <v>183</v>
      </c>
      <c r="C31" s="29" t="s">
        <v>90</v>
      </c>
      <c r="D31" s="30">
        <v>325800</v>
      </c>
      <c r="E31" s="30">
        <v>306100</v>
      </c>
      <c r="F31" s="34">
        <v>280100</v>
      </c>
      <c r="G31" s="40">
        <v>229238</v>
      </c>
      <c r="H31" s="40">
        <v>302720</v>
      </c>
      <c r="I31" s="40">
        <v>240908</v>
      </c>
      <c r="J31" s="40">
        <f t="shared" ref="J31:L32" si="11">I31*0.99</f>
        <v>238498.91999999998</v>
      </c>
      <c r="K31" s="40">
        <f t="shared" si="11"/>
        <v>236113.93079999997</v>
      </c>
      <c r="L31" s="40">
        <f t="shared" si="11"/>
        <v>233752.79149199996</v>
      </c>
    </row>
    <row r="32" spans="1:14" ht="22.5" x14ac:dyDescent="0.25">
      <c r="A32" s="27">
        <v>25</v>
      </c>
      <c r="B32" s="28" t="s">
        <v>99</v>
      </c>
      <c r="C32" s="29" t="s">
        <v>87</v>
      </c>
      <c r="D32" s="30">
        <v>17615300</v>
      </c>
      <c r="E32" s="30">
        <v>17753100</v>
      </c>
      <c r="F32" s="34">
        <v>19376700</v>
      </c>
      <c r="G32" s="40">
        <v>16858486</v>
      </c>
      <c r="H32" s="34">
        <v>16917600</v>
      </c>
      <c r="I32" s="40">
        <v>16053900</v>
      </c>
      <c r="J32" s="40">
        <f>I32*0.99</f>
        <v>15893361</v>
      </c>
      <c r="K32" s="40">
        <f t="shared" si="11"/>
        <v>15734427.390000001</v>
      </c>
      <c r="L32" s="40">
        <f t="shared" si="11"/>
        <v>15577083.1161</v>
      </c>
    </row>
    <row r="33" spans="1:16" x14ac:dyDescent="0.25">
      <c r="A33" s="27">
        <v>26</v>
      </c>
      <c r="B33" s="28" t="s">
        <v>100</v>
      </c>
      <c r="C33" s="29" t="s">
        <v>88</v>
      </c>
      <c r="D33" s="34">
        <v>941600</v>
      </c>
      <c r="E33" s="30">
        <v>960000</v>
      </c>
      <c r="F33" s="34">
        <v>986300</v>
      </c>
      <c r="G33" s="34">
        <v>1004300</v>
      </c>
      <c r="H33" s="40">
        <v>986359.93</v>
      </c>
      <c r="I33" s="40">
        <v>987448</v>
      </c>
      <c r="J33" s="34">
        <f t="shared" ref="J33:L33" si="12">I33+9000</f>
        <v>996448</v>
      </c>
      <c r="K33" s="34">
        <f t="shared" si="12"/>
        <v>1005448</v>
      </c>
      <c r="L33" s="34">
        <f t="shared" si="12"/>
        <v>1014448</v>
      </c>
      <c r="M33" s="53"/>
    </row>
    <row r="34" spans="1:16" ht="22.5" x14ac:dyDescent="0.25">
      <c r="A34" s="27">
        <v>27</v>
      </c>
      <c r="B34" s="28" t="s">
        <v>101</v>
      </c>
      <c r="C34" s="29" t="s">
        <v>91</v>
      </c>
      <c r="D34" s="30">
        <v>34440</v>
      </c>
      <c r="E34" s="30">
        <v>34783</v>
      </c>
      <c r="F34" s="34">
        <v>35023</v>
      </c>
      <c r="G34" s="34">
        <v>35263</v>
      </c>
      <c r="H34" s="34">
        <v>36088</v>
      </c>
      <c r="I34" s="34">
        <v>36261</v>
      </c>
      <c r="J34" s="34">
        <f t="shared" ref="J34:L34" si="13">I34+120</f>
        <v>36381</v>
      </c>
      <c r="K34" s="34">
        <f t="shared" si="13"/>
        <v>36501</v>
      </c>
      <c r="L34" s="34">
        <f t="shared" si="13"/>
        <v>36621</v>
      </c>
    </row>
    <row r="35" spans="1:16" ht="33.75" x14ac:dyDescent="0.25">
      <c r="A35" s="27">
        <v>28</v>
      </c>
      <c r="B35" s="28" t="s">
        <v>105</v>
      </c>
      <c r="C35" s="29" t="s">
        <v>106</v>
      </c>
      <c r="D35" s="30">
        <v>1306</v>
      </c>
      <c r="E35" s="30">
        <v>1419</v>
      </c>
      <c r="F35" s="34">
        <v>1556</v>
      </c>
      <c r="G35" s="40">
        <v>1791</v>
      </c>
      <c r="H35" s="40">
        <v>2325.7020000000002</v>
      </c>
      <c r="I35" s="40">
        <v>2784.03</v>
      </c>
      <c r="J35" s="40">
        <f t="shared" ref="J35:L35" si="14">I35*1.01</f>
        <v>2811.8703</v>
      </c>
      <c r="K35" s="40">
        <f t="shared" si="14"/>
        <v>2839.9890030000001</v>
      </c>
      <c r="L35" s="40">
        <f t="shared" si="14"/>
        <v>2868.38889303</v>
      </c>
    </row>
    <row r="36" spans="1:16" ht="22.5" x14ac:dyDescent="0.25">
      <c r="A36" s="27">
        <v>29</v>
      </c>
      <c r="B36" s="28" t="s">
        <v>107</v>
      </c>
      <c r="C36" s="29" t="s">
        <v>88</v>
      </c>
      <c r="D36" s="30">
        <v>95600</v>
      </c>
      <c r="E36" s="30">
        <v>110000</v>
      </c>
      <c r="F36" s="34">
        <v>126100</v>
      </c>
      <c r="G36" s="34">
        <v>90868</v>
      </c>
      <c r="H36" s="34">
        <v>107594</v>
      </c>
      <c r="I36" s="34">
        <v>109403</v>
      </c>
      <c r="J36" s="34">
        <f>I36+3500</f>
        <v>112903</v>
      </c>
      <c r="K36" s="34">
        <f>J36+3500</f>
        <v>116403</v>
      </c>
      <c r="L36" s="34">
        <f>K36+3500</f>
        <v>119903</v>
      </c>
    </row>
    <row r="37" spans="1:16" ht="33.75" x14ac:dyDescent="0.25">
      <c r="A37" s="27">
        <v>30</v>
      </c>
      <c r="B37" s="28" t="s">
        <v>128</v>
      </c>
      <c r="C37" s="29" t="s">
        <v>106</v>
      </c>
      <c r="D37" s="30">
        <v>11096</v>
      </c>
      <c r="E37" s="30">
        <v>10988</v>
      </c>
      <c r="F37" s="34">
        <v>8438</v>
      </c>
      <c r="G37" s="40">
        <v>5449</v>
      </c>
      <c r="H37" s="40">
        <v>5149.2669999999998</v>
      </c>
      <c r="I37" s="40">
        <v>5235.76</v>
      </c>
      <c r="J37" s="40">
        <f>I37*0.99</f>
        <v>5183.4023999999999</v>
      </c>
      <c r="K37" s="40">
        <f t="shared" ref="K37:L37" si="15">J37*0.99</f>
        <v>5131.5683760000002</v>
      </c>
      <c r="L37" s="40">
        <f t="shared" si="15"/>
        <v>5080.2526922400002</v>
      </c>
    </row>
    <row r="38" spans="1:16" ht="33.75" x14ac:dyDescent="0.25">
      <c r="A38" s="27">
        <v>31</v>
      </c>
      <c r="B38" s="28" t="s">
        <v>129</v>
      </c>
      <c r="C38" s="29" t="s">
        <v>91</v>
      </c>
      <c r="D38" s="30">
        <v>33145</v>
      </c>
      <c r="E38" s="30">
        <v>33235</v>
      </c>
      <c r="F38" s="34">
        <v>33250</v>
      </c>
      <c r="G38" s="34">
        <v>30626</v>
      </c>
      <c r="H38" s="34">
        <v>30881</v>
      </c>
      <c r="I38" s="34">
        <v>31456</v>
      </c>
      <c r="J38" s="34">
        <f t="shared" ref="J38:L38" si="16">I38+60</f>
        <v>31516</v>
      </c>
      <c r="K38" s="34">
        <f t="shared" si="16"/>
        <v>31576</v>
      </c>
      <c r="L38" s="34">
        <f t="shared" si="16"/>
        <v>31636</v>
      </c>
      <c r="M38" s="53"/>
      <c r="N38" s="51"/>
    </row>
    <row r="39" spans="1:16" ht="22.5" x14ac:dyDescent="0.25">
      <c r="A39" s="27">
        <v>32</v>
      </c>
      <c r="B39" s="28" t="s">
        <v>140</v>
      </c>
      <c r="C39" s="27" t="s">
        <v>81</v>
      </c>
      <c r="D39" s="31">
        <f>(D32/1000*0.123)+(D29/1000*0.1428)+((D35+D37)/1000*1.136)/1000</f>
        <v>2183.6206446720003</v>
      </c>
      <c r="E39" s="31">
        <f t="shared" ref="E39:L39" si="17">(E32/1000*0.123)+(E29/1000*0.1428)+((E35+E37)/1000*1.136)/1000</f>
        <v>2196.746865952</v>
      </c>
      <c r="F39" s="40">
        <f t="shared" si="17"/>
        <v>2394.7243283840003</v>
      </c>
      <c r="G39" s="40">
        <f>(G32/1000*0.123)+(G29/1000*0.1428)+((G35+G37)/1000*1.136)/1000</f>
        <v>2089.1810542400003</v>
      </c>
      <c r="H39" s="40">
        <f>(H32/1000*0.123)+(H29/1000*0.1428)+((H35+H37)/1000*1.136)/1000</f>
        <v>2096.0680683647838</v>
      </c>
      <c r="I39" s="40">
        <f>(I32/1000*0.123)+(I29/1000*0.1428)+((I35+I37)/1000*1.136)/1000</f>
        <v>1990.64037015344</v>
      </c>
      <c r="J39" s="40">
        <f t="shared" si="17"/>
        <v>1970.7340297050671</v>
      </c>
      <c r="K39" s="40">
        <f t="shared" si="17"/>
        <v>1951.0267532937098</v>
      </c>
      <c r="L39" s="40">
        <f t="shared" si="17"/>
        <v>1931.5165502853229</v>
      </c>
      <c r="M39" s="43"/>
      <c r="N39" s="36"/>
      <c r="P39" s="42"/>
    </row>
    <row r="40" spans="1:16" ht="22.5" x14ac:dyDescent="0.25">
      <c r="A40" s="27">
        <v>33</v>
      </c>
      <c r="B40" s="28" t="s">
        <v>108</v>
      </c>
      <c r="C40" s="27" t="s">
        <v>81</v>
      </c>
      <c r="D40" s="30">
        <v>36585</v>
      </c>
      <c r="E40" s="30">
        <v>36354</v>
      </c>
      <c r="F40" s="34">
        <v>38224</v>
      </c>
      <c r="G40" s="40">
        <v>30691</v>
      </c>
      <c r="H40" s="40">
        <v>34772</v>
      </c>
      <c r="I40" s="40">
        <v>34564</v>
      </c>
      <c r="J40" s="40">
        <f t="shared" ref="J40:L40" si="18">I40*0.99</f>
        <v>34218.36</v>
      </c>
      <c r="K40" s="40">
        <f t="shared" si="18"/>
        <v>33876.176399999997</v>
      </c>
      <c r="L40" s="40">
        <f t="shared" si="18"/>
        <v>33537.414635999994</v>
      </c>
    </row>
    <row r="41" spans="1:16" ht="22.5" x14ac:dyDescent="0.25">
      <c r="A41" s="27">
        <v>34</v>
      </c>
      <c r="B41" s="28" t="s">
        <v>109</v>
      </c>
      <c r="C41" s="27" t="s">
        <v>110</v>
      </c>
      <c r="D41" s="30">
        <v>0.22900000000000001</v>
      </c>
      <c r="E41" s="30">
        <v>0.22</v>
      </c>
      <c r="F41" s="34">
        <v>0.219</v>
      </c>
      <c r="G41" s="41">
        <v>0.19</v>
      </c>
      <c r="H41" s="41">
        <v>0.20300000000000001</v>
      </c>
      <c r="I41" s="41">
        <v>0.20399999999999999</v>
      </c>
      <c r="J41" s="41">
        <f t="shared" ref="J41:L41" si="19">I41*0.9937</f>
        <v>0.2027148</v>
      </c>
      <c r="K41" s="41">
        <f t="shared" si="19"/>
        <v>0.20143769676000001</v>
      </c>
      <c r="L41" s="41">
        <f t="shared" si="19"/>
        <v>0.20016863927041201</v>
      </c>
    </row>
    <row r="42" spans="1:16" ht="22.5" x14ac:dyDescent="0.25">
      <c r="A42" s="27">
        <v>35</v>
      </c>
      <c r="B42" s="28" t="s">
        <v>111</v>
      </c>
      <c r="C42" s="27" t="s">
        <v>81</v>
      </c>
      <c r="D42" s="30">
        <f>9731+2531</f>
        <v>12262</v>
      </c>
      <c r="E42" s="30">
        <f>9184+2599</f>
        <v>11783</v>
      </c>
      <c r="F42" s="34">
        <f>9945+2138</f>
        <v>12083</v>
      </c>
      <c r="G42" s="40">
        <v>9950</v>
      </c>
      <c r="H42" s="40">
        <v>9309</v>
      </c>
      <c r="I42" s="40">
        <v>8221.09</v>
      </c>
      <c r="J42" s="40">
        <f>I42*0.99</f>
        <v>8138.8791000000001</v>
      </c>
      <c r="K42" s="40">
        <f>J42*0.99</f>
        <v>8057.4903089999998</v>
      </c>
      <c r="L42" s="40">
        <f>K42*0.99</f>
        <v>7976.9154059100001</v>
      </c>
    </row>
    <row r="43" spans="1:16" x14ac:dyDescent="0.25">
      <c r="A43" s="27">
        <v>36</v>
      </c>
      <c r="B43" s="28" t="s">
        <v>112</v>
      </c>
      <c r="C43" s="27" t="s">
        <v>103</v>
      </c>
      <c r="D43" s="30">
        <f>57421+16458</f>
        <v>73879</v>
      </c>
      <c r="E43" s="30">
        <f>54077+17115</f>
        <v>71192</v>
      </c>
      <c r="F43" s="34">
        <f>58984+14278</f>
        <v>73262</v>
      </c>
      <c r="G43" s="40">
        <v>59553</v>
      </c>
      <c r="H43" s="40">
        <v>56676</v>
      </c>
      <c r="I43" s="40">
        <v>50559.87</v>
      </c>
      <c r="J43" s="40">
        <f>J42/0.1625</f>
        <v>50085.409846153845</v>
      </c>
      <c r="K43" s="40">
        <f>K42/0.162</f>
        <v>49737.594499999999</v>
      </c>
      <c r="L43" s="40">
        <f>L42/0.1615</f>
        <v>49392.665052074306</v>
      </c>
    </row>
    <row r="44" spans="1:16" ht="34.5" x14ac:dyDescent="0.25">
      <c r="A44" s="27">
        <v>37</v>
      </c>
      <c r="B44" s="35" t="s">
        <v>113</v>
      </c>
      <c r="C44" s="29" t="s">
        <v>83</v>
      </c>
      <c r="D44" s="30">
        <v>4162</v>
      </c>
      <c r="E44" s="30">
        <v>4317</v>
      </c>
      <c r="F44" s="34">
        <v>4639</v>
      </c>
      <c r="G44" s="40">
        <v>2865</v>
      </c>
      <c r="H44" s="40">
        <v>2815.58</v>
      </c>
      <c r="I44" s="40">
        <v>2902.54</v>
      </c>
      <c r="J44" s="40">
        <f>I44*0.99</f>
        <v>2873.5146</v>
      </c>
      <c r="K44" s="40">
        <f t="shared" ref="K44:L44" si="20">J44*0.99</f>
        <v>2844.779454</v>
      </c>
      <c r="L44" s="40">
        <f t="shared" si="20"/>
        <v>2816.3316594600001</v>
      </c>
    </row>
    <row r="45" spans="1:16" ht="23.25" x14ac:dyDescent="0.25">
      <c r="A45" s="27">
        <v>38</v>
      </c>
      <c r="B45" s="35" t="s">
        <v>168</v>
      </c>
      <c r="C45" s="29" t="s">
        <v>106</v>
      </c>
      <c r="D45" s="30">
        <v>11796</v>
      </c>
      <c r="E45" s="30">
        <v>13271</v>
      </c>
      <c r="F45" s="34">
        <v>13819</v>
      </c>
      <c r="G45" s="40">
        <v>5741</v>
      </c>
      <c r="H45" s="40">
        <v>5910</v>
      </c>
      <c r="I45" s="40">
        <v>6071.77</v>
      </c>
      <c r="J45" s="40">
        <f>J44/0.475</f>
        <v>6049.5044210526321</v>
      </c>
      <c r="K45" s="40">
        <f>K44/0.473</f>
        <v>6014.3328837209301</v>
      </c>
      <c r="L45" s="40">
        <f>L44/0.47</f>
        <v>5992.1950201276604</v>
      </c>
    </row>
    <row r="46" spans="1:16" x14ac:dyDescent="0.25">
      <c r="A46" s="27">
        <v>39</v>
      </c>
      <c r="B46" s="35" t="s">
        <v>114</v>
      </c>
      <c r="C46" s="27" t="s">
        <v>103</v>
      </c>
      <c r="D46" s="30">
        <v>13352</v>
      </c>
      <c r="E46" s="30">
        <v>12419</v>
      </c>
      <c r="F46" s="34">
        <v>12699</v>
      </c>
      <c r="G46" s="40">
        <v>22079</v>
      </c>
      <c r="H46" s="40">
        <v>45930</v>
      </c>
      <c r="I46" s="40">
        <v>43007.81</v>
      </c>
      <c r="J46" s="40">
        <f t="shared" ref="J46:L46" si="21">I46*0.99</f>
        <v>42577.731899999999</v>
      </c>
      <c r="K46" s="40">
        <f t="shared" si="21"/>
        <v>42151.954580999998</v>
      </c>
      <c r="L46" s="40">
        <f t="shared" si="21"/>
        <v>41730.435035189999</v>
      </c>
    </row>
    <row r="47" spans="1:16" x14ac:dyDescent="0.25">
      <c r="A47" s="27">
        <v>40</v>
      </c>
      <c r="B47" s="35" t="s">
        <v>115</v>
      </c>
      <c r="C47" s="27" t="s">
        <v>103</v>
      </c>
      <c r="D47" s="30">
        <f>D46+D9*1000</f>
        <v>300352</v>
      </c>
      <c r="E47" s="30">
        <f>E46+E9*1000</f>
        <v>277419</v>
      </c>
      <c r="F47" s="34">
        <f>F46+F9*1000</f>
        <v>288699</v>
      </c>
      <c r="G47" s="40">
        <v>227606</v>
      </c>
      <c r="H47" s="34">
        <f>H46+H9*1000</f>
        <v>314130</v>
      </c>
      <c r="I47" s="40">
        <v>294877.81</v>
      </c>
      <c r="J47" s="40">
        <f>J46/0.1456</f>
        <v>292429.47733516479</v>
      </c>
      <c r="K47" s="40">
        <f>K46/0.1455</f>
        <v>289704.15519587632</v>
      </c>
      <c r="L47" s="40">
        <f>L46/0.1453</f>
        <v>287201.89287811425</v>
      </c>
      <c r="M47" s="56"/>
    </row>
    <row r="48" spans="1:16" ht="22.5" x14ac:dyDescent="0.25">
      <c r="A48" s="27">
        <v>41</v>
      </c>
      <c r="B48" s="35" t="s">
        <v>116</v>
      </c>
      <c r="C48" s="29" t="s">
        <v>106</v>
      </c>
      <c r="D48" s="30">
        <v>385</v>
      </c>
      <c r="E48" s="30">
        <v>358</v>
      </c>
      <c r="F48" s="34">
        <v>326</v>
      </c>
      <c r="G48" s="40">
        <v>313</v>
      </c>
      <c r="H48" s="40">
        <v>299.04700000000003</v>
      </c>
      <c r="I48" s="40">
        <v>316.77999999999997</v>
      </c>
      <c r="J48" s="40">
        <f>I48*0.988</f>
        <v>312.97863999999998</v>
      </c>
      <c r="K48" s="40">
        <f>J48*0.987</f>
        <v>308.90991767999998</v>
      </c>
      <c r="L48" s="40">
        <f>K48*0.986</f>
        <v>304.58517883247998</v>
      </c>
      <c r="M48" s="42"/>
      <c r="N48" s="42"/>
      <c r="O48" s="42"/>
      <c r="P48" s="42"/>
    </row>
    <row r="49" spans="1:12" ht="23.25" x14ac:dyDescent="0.25">
      <c r="A49" s="27">
        <v>42</v>
      </c>
      <c r="B49" s="35" t="s">
        <v>117</v>
      </c>
      <c r="C49" s="29" t="s">
        <v>83</v>
      </c>
      <c r="D49" s="31">
        <v>2900</v>
      </c>
      <c r="E49" s="31">
        <v>2833.7</v>
      </c>
      <c r="F49" s="40">
        <v>2615.9499999999998</v>
      </c>
      <c r="G49" s="40">
        <v>2809</v>
      </c>
      <c r="H49" s="40">
        <v>1782</v>
      </c>
      <c r="I49" s="40">
        <v>1692</v>
      </c>
      <c r="J49" s="40">
        <f>I49*0.987</f>
        <v>1670.0039999999999</v>
      </c>
      <c r="K49" s="40">
        <f>J49*0.986</f>
        <v>1646.6239439999999</v>
      </c>
      <c r="L49" s="40">
        <f>K49*0.985</f>
        <v>1621.9245848399999</v>
      </c>
    </row>
    <row r="50" spans="1:12" ht="23.25" x14ac:dyDescent="0.25">
      <c r="A50" s="27">
        <v>43</v>
      </c>
      <c r="B50" s="35" t="s">
        <v>118</v>
      </c>
      <c r="C50" s="29" t="s">
        <v>83</v>
      </c>
      <c r="D50" s="30">
        <v>1852</v>
      </c>
      <c r="E50" s="30">
        <v>1809</v>
      </c>
      <c r="F50" s="34">
        <v>1851</v>
      </c>
      <c r="G50" s="40">
        <v>1709</v>
      </c>
      <c r="H50" s="40">
        <v>1828.16</v>
      </c>
      <c r="I50" s="40">
        <v>1661.08</v>
      </c>
      <c r="J50" s="40">
        <f>I50*0.99</f>
        <v>1644.4692</v>
      </c>
      <c r="K50" s="40">
        <f t="shared" ref="K50" si="22">J50*0.99</f>
        <v>1628.024508</v>
      </c>
      <c r="L50" s="40">
        <f>K50*0.99</f>
        <v>1611.74426292</v>
      </c>
    </row>
    <row r="51" spans="1:12" ht="22.5" x14ac:dyDescent="0.25">
      <c r="A51" s="27">
        <v>44</v>
      </c>
      <c r="B51" s="35" t="s">
        <v>119</v>
      </c>
      <c r="C51" s="29" t="s">
        <v>106</v>
      </c>
      <c r="D51" s="30">
        <v>3222</v>
      </c>
      <c r="E51" s="30">
        <v>2952</v>
      </c>
      <c r="F51" s="34">
        <v>2750</v>
      </c>
      <c r="G51" s="40">
        <v>2655</v>
      </c>
      <c r="H51" s="40">
        <v>3129.7</v>
      </c>
      <c r="I51" s="40">
        <v>2627.6</v>
      </c>
      <c r="J51" s="40">
        <f>J50/0.63</f>
        <v>2610.2685714285712</v>
      </c>
      <c r="K51" s="40">
        <f>K50/0.629</f>
        <v>2588.2742575516691</v>
      </c>
      <c r="L51" s="40">
        <f>L50/0.628</f>
        <v>2566.4717562420383</v>
      </c>
    </row>
    <row r="52" spans="1:12" ht="23.25" x14ac:dyDescent="0.25">
      <c r="A52" s="27">
        <v>45</v>
      </c>
      <c r="B52" s="35" t="s">
        <v>120</v>
      </c>
      <c r="C52" s="29" t="s">
        <v>87</v>
      </c>
      <c r="D52" s="30">
        <v>2162921</v>
      </c>
      <c r="E52" s="30">
        <v>1459092</v>
      </c>
      <c r="F52" s="34">
        <v>1488617</v>
      </c>
      <c r="G52" s="34">
        <v>1737237</v>
      </c>
      <c r="H52" s="34">
        <v>1731398</v>
      </c>
      <c r="I52" s="34">
        <v>1781241</v>
      </c>
      <c r="J52" s="34">
        <f>I52*0.998</f>
        <v>1777678.5179999999</v>
      </c>
      <c r="K52" s="34">
        <f>J52*0.998</f>
        <v>1774123.1609639998</v>
      </c>
      <c r="L52" s="34">
        <f>K52*0.998</f>
        <v>1770574.9146420718</v>
      </c>
    </row>
    <row r="53" spans="1:12" x14ac:dyDescent="0.25">
      <c r="A53" s="27">
        <v>46</v>
      </c>
      <c r="B53" s="35" t="s">
        <v>121</v>
      </c>
      <c r="C53" s="29" t="s">
        <v>122</v>
      </c>
      <c r="D53" s="30">
        <v>1327900</v>
      </c>
      <c r="E53" s="30">
        <v>1327900</v>
      </c>
      <c r="F53" s="34">
        <v>1327900</v>
      </c>
      <c r="G53" s="34">
        <f t="shared" ref="G53" si="23">F53+100</f>
        <v>1328000</v>
      </c>
      <c r="H53" s="34">
        <v>1328100</v>
      </c>
      <c r="I53" s="34">
        <v>1328100</v>
      </c>
      <c r="J53" s="34">
        <f>I53</f>
        <v>1328100</v>
      </c>
      <c r="K53" s="34">
        <f>J53</f>
        <v>1328100</v>
      </c>
      <c r="L53" s="34">
        <f>K53</f>
        <v>1328100</v>
      </c>
    </row>
  </sheetData>
  <mergeCells count="6">
    <mergeCell ref="A5:L5"/>
    <mergeCell ref="A1:C1"/>
    <mergeCell ref="E1:L1"/>
    <mergeCell ref="A2:C2"/>
    <mergeCell ref="E2:L2"/>
    <mergeCell ref="E3:L3"/>
  </mergeCells>
  <phoneticPr fontId="6" type="noConversion"/>
  <pageMargins left="0.31496062992125984" right="0.31496062992125984" top="0.55118110236220474" bottom="0.35433070866141736" header="0.31496062992125984" footer="0.31496062992125984"/>
  <pageSetup paperSize="9" scale="95" orientation="landscape" r:id="rId1"/>
  <ignoredErrors>
    <ignoredError sqref="J23:L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15" zoomScaleNormal="115" workbookViewId="0">
      <selection activeCell="K39" sqref="K39"/>
    </sheetView>
  </sheetViews>
  <sheetFormatPr defaultRowHeight="15" x14ac:dyDescent="0.25"/>
  <cols>
    <col min="1" max="1" width="3.140625" bestFit="1" customWidth="1"/>
    <col min="2" max="2" width="36.7109375" customWidth="1"/>
    <col min="3" max="3" width="18.140625" customWidth="1"/>
    <col min="4" max="4" width="24.7109375" customWidth="1"/>
    <col min="5" max="5" width="10" hidden="1" customWidth="1"/>
    <col min="6" max="6" width="0.28515625" hidden="1" customWidth="1"/>
    <col min="9" max="9" width="9.140625" style="37"/>
  </cols>
  <sheetData>
    <row r="1" spans="1:13" x14ac:dyDescent="0.25">
      <c r="A1" s="3"/>
      <c r="B1" s="3"/>
      <c r="C1" s="4"/>
      <c r="D1" s="5"/>
      <c r="E1" s="4"/>
      <c r="F1" s="59" t="s">
        <v>187</v>
      </c>
      <c r="G1" s="59"/>
      <c r="H1" s="59"/>
      <c r="I1" s="59"/>
      <c r="J1" s="59"/>
      <c r="K1" s="59"/>
      <c r="L1" s="59"/>
      <c r="M1" s="59"/>
    </row>
    <row r="2" spans="1:13" ht="14.25" customHeight="1" x14ac:dyDescent="0.25">
      <c r="A2" s="3"/>
      <c r="B2" s="3"/>
      <c r="C2" s="4"/>
      <c r="D2" s="5"/>
      <c r="E2" s="4"/>
      <c r="F2" s="65" t="s">
        <v>175</v>
      </c>
      <c r="G2" s="65"/>
      <c r="H2" s="65"/>
      <c r="I2" s="65"/>
      <c r="J2" s="65"/>
      <c r="K2" s="65"/>
      <c r="L2" s="65"/>
      <c r="M2" s="65"/>
    </row>
    <row r="3" spans="1:13" x14ac:dyDescent="0.25">
      <c r="A3" s="3"/>
      <c r="B3" s="3"/>
      <c r="C3" s="4"/>
      <c r="D3" s="5"/>
      <c r="E3" s="4"/>
      <c r="F3" s="65" t="s">
        <v>176</v>
      </c>
      <c r="G3" s="65"/>
      <c r="H3" s="65"/>
      <c r="I3" s="65"/>
      <c r="J3" s="65"/>
      <c r="K3" s="65"/>
      <c r="L3" s="65"/>
      <c r="M3" s="65"/>
    </row>
    <row r="4" spans="1:13" x14ac:dyDescent="0.25">
      <c r="A4" s="3"/>
      <c r="B4" s="3"/>
      <c r="C4" s="4"/>
      <c r="D4" s="5"/>
      <c r="E4" s="4"/>
      <c r="F4" s="6"/>
      <c r="G4" s="70" t="s">
        <v>190</v>
      </c>
      <c r="H4" s="70"/>
      <c r="I4" s="70"/>
      <c r="J4" s="70"/>
      <c r="K4" s="70"/>
      <c r="L4" s="70"/>
      <c r="M4" s="70"/>
    </row>
    <row r="5" spans="1:13" ht="74.25" customHeight="1" x14ac:dyDescent="0.25">
      <c r="A5" s="66" t="s">
        <v>189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21.75" customHeight="1" x14ac:dyDescent="0.25">
      <c r="A6" s="71" t="s">
        <v>138</v>
      </c>
      <c r="B6" s="73" t="s">
        <v>170</v>
      </c>
      <c r="C6" s="75" t="s">
        <v>178</v>
      </c>
      <c r="D6" s="75" t="s">
        <v>61</v>
      </c>
      <c r="E6" s="23"/>
      <c r="F6" s="23"/>
      <c r="G6" s="61" t="s">
        <v>177</v>
      </c>
      <c r="H6" s="62"/>
      <c r="I6" s="62"/>
      <c r="J6" s="62"/>
      <c r="K6" s="62"/>
      <c r="L6" s="62"/>
      <c r="M6" s="63"/>
    </row>
    <row r="7" spans="1:13" ht="23.25" customHeight="1" x14ac:dyDescent="0.25">
      <c r="A7" s="72"/>
      <c r="B7" s="74"/>
      <c r="C7" s="76"/>
      <c r="D7" s="76"/>
      <c r="E7" s="14">
        <v>2012</v>
      </c>
      <c r="F7" s="14">
        <v>2013</v>
      </c>
      <c r="G7" s="14">
        <v>2014</v>
      </c>
      <c r="H7" s="14">
        <v>2015</v>
      </c>
      <c r="I7" s="44">
        <v>2016</v>
      </c>
      <c r="J7" s="14">
        <v>2017</v>
      </c>
      <c r="K7" s="14">
        <v>2018</v>
      </c>
      <c r="L7" s="14">
        <v>2019</v>
      </c>
      <c r="M7" s="14">
        <v>2020</v>
      </c>
    </row>
    <row r="8" spans="1:13" ht="21.75" customHeight="1" x14ac:dyDescent="0.25">
      <c r="A8" s="7">
        <v>1</v>
      </c>
      <c r="B8" s="67" t="s">
        <v>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1:13" ht="84" x14ac:dyDescent="0.25">
      <c r="A9" s="8" t="s">
        <v>7</v>
      </c>
      <c r="B9" s="15" t="s">
        <v>0</v>
      </c>
      <c r="C9" s="16" t="s">
        <v>60</v>
      </c>
      <c r="D9" s="16" t="s">
        <v>141</v>
      </c>
      <c r="E9" s="16">
        <f>'исх. данные'!D13/'исх. данные'!D8*100</f>
        <v>100</v>
      </c>
      <c r="F9" s="16">
        <f>'исх. данные'!E13/'исх. данные'!E8*100</f>
        <v>100</v>
      </c>
      <c r="G9" s="16">
        <f>'исх. данные'!F13/'исх. данные'!F8*100</f>
        <v>100</v>
      </c>
      <c r="H9" s="16">
        <f>'исх. данные'!G13/'исх. данные'!G8*100</f>
        <v>100</v>
      </c>
      <c r="I9" s="22">
        <f>'исх. данные'!H13/'исх. данные'!H8*100</f>
        <v>100</v>
      </c>
      <c r="J9" s="16">
        <f>'исх. данные'!I13/'исх. данные'!I8*100</f>
        <v>100</v>
      </c>
      <c r="K9" s="16">
        <f>'исх. данные'!J13/'исх. данные'!J8*100</f>
        <v>100</v>
      </c>
      <c r="L9" s="16">
        <f>'исх. данные'!K13/'исх. данные'!K8*100</f>
        <v>100</v>
      </c>
      <c r="M9" s="16">
        <f>'исх. данные'!L13/'исх. данные'!L8*100</f>
        <v>100</v>
      </c>
    </row>
    <row r="10" spans="1:13" ht="72" x14ac:dyDescent="0.25">
      <c r="A10" s="8" t="s">
        <v>8</v>
      </c>
      <c r="B10" s="15" t="s">
        <v>1</v>
      </c>
      <c r="C10" s="16" t="s">
        <v>60</v>
      </c>
      <c r="D10" s="16" t="s">
        <v>142</v>
      </c>
      <c r="E10" s="17">
        <f>'исх. данные'!D14/'исх. данные'!D9*100</f>
        <v>65.156794425087099</v>
      </c>
      <c r="F10" s="17">
        <f>'исх. данные'!E14/'исх. данные'!E9*100</f>
        <v>54.716981132075468</v>
      </c>
      <c r="G10" s="17">
        <v>64</v>
      </c>
      <c r="H10" s="17">
        <v>67</v>
      </c>
      <c r="I10" s="45">
        <f>'исх. данные'!H14/'исх. данные'!H9*100</f>
        <v>57.00969425801641</v>
      </c>
      <c r="J10" s="17">
        <f>'исх. данные'!I14/'исх. данные'!I9*100</f>
        <v>57.831420971135906</v>
      </c>
      <c r="K10" s="17">
        <f>'исх. данные'!J14/'исх. данные'!J9*100</f>
        <v>59</v>
      </c>
      <c r="L10" s="17">
        <f>'исх. данные'!K14/'исх. данные'!K9*100</f>
        <v>61</v>
      </c>
      <c r="M10" s="17">
        <f>'исх. данные'!L14/'исх. данные'!L9*100</f>
        <v>62</v>
      </c>
    </row>
    <row r="11" spans="1:13" ht="72" x14ac:dyDescent="0.25">
      <c r="A11" s="8" t="s">
        <v>9</v>
      </c>
      <c r="B11" s="15" t="s">
        <v>2</v>
      </c>
      <c r="C11" s="16" t="s">
        <v>60</v>
      </c>
      <c r="D11" s="16" t="s">
        <v>143</v>
      </c>
      <c r="E11" s="17">
        <f>'исх. данные'!D15/'исх. данные'!D10*100</f>
        <v>47.81099839829151</v>
      </c>
      <c r="F11" s="17">
        <f>'исх. данные'!E15/'исх. данные'!E10*100</f>
        <v>43.402366863905321</v>
      </c>
      <c r="G11" s="17">
        <f>'исх. данные'!F15/'исх. данные'!F10*100</f>
        <v>51.166359729895639</v>
      </c>
      <c r="H11" s="17">
        <f>'исх. данные'!G15/'исх. данные'!G10*100</f>
        <v>57.869481765834927</v>
      </c>
      <c r="I11" s="45">
        <f>'исх. данные'!H15/'исх. данные'!H10*100</f>
        <v>61.055377207062598</v>
      </c>
      <c r="J11" s="17">
        <f>'исх. данные'!I15/'исх. данные'!I10*100</f>
        <v>57.701844031921745</v>
      </c>
      <c r="K11" s="17">
        <f>'исх. данные'!J15/'исх. данные'!J10*100</f>
        <v>59</v>
      </c>
      <c r="L11" s="17">
        <f>'исх. данные'!K15/'исх. данные'!K10*100</f>
        <v>60</v>
      </c>
      <c r="M11" s="17">
        <f>'исх. данные'!L15/'исх. данные'!L10*100</f>
        <v>61</v>
      </c>
    </row>
    <row r="12" spans="1:13" ht="72" x14ac:dyDescent="0.25">
      <c r="A12" s="8" t="s">
        <v>10</v>
      </c>
      <c r="B12" s="15" t="s">
        <v>3</v>
      </c>
      <c r="C12" s="16" t="s">
        <v>60</v>
      </c>
      <c r="D12" s="16" t="s">
        <v>144</v>
      </c>
      <c r="E12" s="17">
        <f>'исх. данные'!D16/'исх. данные'!D11*100</f>
        <v>12.619502868068832</v>
      </c>
      <c r="F12" s="17">
        <f>'исх. данные'!E16/'исх. данные'!E11*100</f>
        <v>48.991935483870968</v>
      </c>
      <c r="G12" s="17">
        <v>71</v>
      </c>
      <c r="H12" s="17">
        <v>75</v>
      </c>
      <c r="I12" s="45">
        <f>'исх. данные'!H16/'исх. данные'!H11*100</f>
        <v>77.675739957716701</v>
      </c>
      <c r="J12" s="45">
        <f>'исх. данные'!I16/'исх. данные'!I11*100</f>
        <v>85.241907413853113</v>
      </c>
      <c r="K12" s="45">
        <f>'исх. данные'!J16/'исх. данные'!J11*100</f>
        <v>83</v>
      </c>
      <c r="L12" s="45">
        <f>'исх. данные'!K16/'исх. данные'!K11*100</f>
        <v>82</v>
      </c>
      <c r="M12" s="45">
        <f>'исх. данные'!L16/'исх. данные'!L11*100</f>
        <v>80</v>
      </c>
    </row>
    <row r="13" spans="1:13" ht="78" customHeight="1" x14ac:dyDescent="0.25">
      <c r="A13" s="8" t="s">
        <v>11</v>
      </c>
      <c r="B13" s="15" t="s">
        <v>4</v>
      </c>
      <c r="C13" s="16" t="s">
        <v>60</v>
      </c>
      <c r="D13" s="16" t="s">
        <v>145</v>
      </c>
      <c r="E13" s="17">
        <f>'исх. данные'!D17/'исх. данные'!D12*100</f>
        <v>79.531812161235464</v>
      </c>
      <c r="F13" s="17">
        <f>'исх. данные'!E17/'исх. данные'!E12*100</f>
        <v>80.050297479254738</v>
      </c>
      <c r="G13" s="17">
        <v>73</v>
      </c>
      <c r="H13" s="17">
        <v>74</v>
      </c>
      <c r="I13" s="45">
        <f>'исх. данные'!H17/'исх. данные'!H12*100</f>
        <v>83.409195738816038</v>
      </c>
      <c r="J13" s="17">
        <f>'исх. данные'!I17/'исх. данные'!I12*100</f>
        <v>87.863238138454889</v>
      </c>
      <c r="K13" s="17">
        <f>'исх. данные'!J17/'исх. данные'!J12*100</f>
        <v>88.703755770705811</v>
      </c>
      <c r="L13" s="17">
        <f>'исх. данные'!K17/'исх. данные'!K12*100</f>
        <v>88.999999999999986</v>
      </c>
      <c r="M13" s="17">
        <f>'исх. данные'!L17/'исх. данные'!L12*100</f>
        <v>90</v>
      </c>
    </row>
    <row r="14" spans="1:13" ht="95.25" customHeight="1" x14ac:dyDescent="0.25">
      <c r="A14" s="8" t="s">
        <v>12</v>
      </c>
      <c r="B14" s="15" t="s">
        <v>5</v>
      </c>
      <c r="C14" s="16" t="s">
        <v>60</v>
      </c>
      <c r="D14" s="16" t="s">
        <v>146</v>
      </c>
      <c r="E14" s="16">
        <f>'исх. данные'!D18/'исх. данные'!D19</f>
        <v>0</v>
      </c>
      <c r="F14" s="16">
        <f>'исх. данные'!E18/'исх. данные'!E19</f>
        <v>0</v>
      </c>
      <c r="G14" s="16">
        <f>'исх. данные'!F18/'исх. данные'!F19</f>
        <v>0</v>
      </c>
      <c r="H14" s="16">
        <f>'исх. данные'!G18/'исх. данные'!G19</f>
        <v>0</v>
      </c>
      <c r="I14" s="22">
        <f>'исх. данные'!H18/'исх. данные'!H19</f>
        <v>0</v>
      </c>
      <c r="J14" s="16">
        <f>'исх. данные'!I18/'исх. данные'!I19</f>
        <v>0</v>
      </c>
      <c r="K14" s="16">
        <f>'исх. данные'!J18/'исх. данные'!J19</f>
        <v>0</v>
      </c>
      <c r="L14" s="16">
        <f>'исх. данные'!K18/'исх. данные'!K19</f>
        <v>0</v>
      </c>
      <c r="M14" s="16">
        <f>'исх. данные'!L18/'исх. данные'!L19</f>
        <v>0</v>
      </c>
    </row>
    <row r="15" spans="1:13" ht="24" customHeight="1" x14ac:dyDescent="0.25">
      <c r="A15" s="9">
        <v>2</v>
      </c>
      <c r="B15" s="77" t="s">
        <v>13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60" x14ac:dyDescent="0.25">
      <c r="A16" s="8" t="s">
        <v>38</v>
      </c>
      <c r="B16" s="15" t="s">
        <v>14</v>
      </c>
      <c r="C16" s="16" t="s">
        <v>63</v>
      </c>
      <c r="D16" s="16" t="s">
        <v>147</v>
      </c>
      <c r="E16" s="18">
        <f>'исх. данные'!D20/'исх. данные'!D25</f>
        <v>18.524503102324115</v>
      </c>
      <c r="F16" s="18">
        <f>'исх. данные'!E20/'исх. данные'!E25</f>
        <v>18.497754373475434</v>
      </c>
      <c r="G16" s="18">
        <f>'исх. данные'!F20/'исх. данные'!F25</f>
        <v>20.061683403249866</v>
      </c>
      <c r="H16" s="18">
        <v>28.72</v>
      </c>
      <c r="I16" s="46">
        <f>'исх. данные'!H20/'исх. данные'!H25</f>
        <v>23.842659709080763</v>
      </c>
      <c r="J16" s="46">
        <f>'исх. данные'!I20/'исх. данные'!I25</f>
        <v>23.119659781981976</v>
      </c>
      <c r="K16" s="46">
        <f>'исх. данные'!J20/'исх. данные'!J25</f>
        <v>23.020245244919455</v>
      </c>
      <c r="L16" s="46">
        <f>'исх. данные'!K20/'исх. данные'!K25</f>
        <v>22.921258190366302</v>
      </c>
      <c r="M16" s="46">
        <f>'исх. данные'!L20/'исх. данные'!L25</f>
        <v>22.82269678014773</v>
      </c>
    </row>
    <row r="17" spans="1:13" ht="60" x14ac:dyDescent="0.25">
      <c r="A17" s="8" t="s">
        <v>39</v>
      </c>
      <c r="B17" s="15" t="s">
        <v>15</v>
      </c>
      <c r="C17" s="16" t="s">
        <v>64</v>
      </c>
      <c r="D17" s="16" t="s">
        <v>148</v>
      </c>
      <c r="E17" s="19">
        <f>'исх. данные'!D21/'исх. данные'!D25</f>
        <v>0.205373856346619</v>
      </c>
      <c r="F17" s="19">
        <f>'исх. данные'!E21/'исх. данные'!E25</f>
        <v>0.17073043059496015</v>
      </c>
      <c r="G17" s="19">
        <f>'исх. данные'!F21/'исх. данные'!F25</f>
        <v>0.18330813668265236</v>
      </c>
      <c r="H17" s="19">
        <f>'исх. данные'!G21/'исх. данные'!G25</f>
        <v>0.15564631194190168</v>
      </c>
      <c r="I17" s="47">
        <f>'исх. данные'!H21/'исх. данные'!H25</f>
        <v>0.1481993007251538</v>
      </c>
      <c r="J17" s="47">
        <f>'исх. данные'!I21/'исх. данные'!I25</f>
        <v>0.1758268736585599</v>
      </c>
      <c r="K17" s="47">
        <f>'исх. данные'!J21/'исх. данные'!J25</f>
        <v>0.17406860492197429</v>
      </c>
      <c r="L17" s="47">
        <f>'исх. данные'!K21/'исх. данные'!K25</f>
        <v>0.17232791887275453</v>
      </c>
      <c r="M17" s="47">
        <f>'исх. данные'!L21/'исх. данные'!L25</f>
        <v>0.170604639684027</v>
      </c>
    </row>
    <row r="18" spans="1:13" ht="48" x14ac:dyDescent="0.25">
      <c r="A18" s="8" t="s">
        <v>40</v>
      </c>
      <c r="B18" s="15" t="s">
        <v>16</v>
      </c>
      <c r="C18" s="16" t="s">
        <v>65</v>
      </c>
      <c r="D18" s="16" t="s">
        <v>149</v>
      </c>
      <c r="E18" s="18">
        <f>'исх. данные'!D22/'исх. данные'!D26</f>
        <v>46.357388316151201</v>
      </c>
      <c r="F18" s="18">
        <f>'исх. данные'!E22/'исх. данные'!E26</f>
        <v>53.450133333333333</v>
      </c>
      <c r="G18" s="18">
        <f>'исх. данные'!F22/'исх. данные'!F26</f>
        <v>39.771526980482207</v>
      </c>
      <c r="H18" s="18">
        <f>'исх. данные'!G22/'исх. данные'!G26</f>
        <v>38.214963707426016</v>
      </c>
      <c r="I18" s="46">
        <f>'исх. данные'!H22/'исх. данные'!H26</f>
        <v>37.307084775086508</v>
      </c>
      <c r="J18" s="46">
        <f>'исх. данные'!I22/'исх. данные'!I26</f>
        <v>38.743821579264619</v>
      </c>
      <c r="K18" s="46">
        <f>'исх. данные'!J22/'исх. данные'!J26</f>
        <v>38.35638336347197</v>
      </c>
      <c r="L18" s="46">
        <f>'исх. данные'!K22/'исх. данные'!K26</f>
        <v>37.972819529837253</v>
      </c>
      <c r="M18" s="46">
        <f>'исх. данные'!L22/'исх. данные'!L26</f>
        <v>37.593091334538876</v>
      </c>
    </row>
    <row r="19" spans="1:13" ht="48" x14ac:dyDescent="0.25">
      <c r="A19" s="8" t="s">
        <v>41</v>
      </c>
      <c r="B19" s="15" t="s">
        <v>17</v>
      </c>
      <c r="C19" s="16" t="s">
        <v>65</v>
      </c>
      <c r="D19" s="16" t="s">
        <v>150</v>
      </c>
      <c r="E19" s="19">
        <f>'исх. данные'!D23/'исх. данные'!D26</f>
        <v>0.50711831124202256</v>
      </c>
      <c r="F19" s="19">
        <f>'исх. данные'!E23/'исх. данные'!E26</f>
        <v>0.43359999999999999</v>
      </c>
      <c r="G19" s="19">
        <f>'исх. данные'!F23/'исх. данные'!F26</f>
        <v>0.51033295063145812</v>
      </c>
      <c r="H19" s="19">
        <v>0.55600000000000005</v>
      </c>
      <c r="I19" s="47">
        <f>'исх. данные'!H23/'исх. данные'!H26</f>
        <v>1.2427831603229527</v>
      </c>
      <c r="J19" s="47">
        <f>'исх. данные'!I23/'исх. данные'!I26</f>
        <v>1.2470343580470162</v>
      </c>
      <c r="K19" s="47">
        <f>'исх. данные'!J23/'исх. данные'!J26</f>
        <v>1.2445402893309223</v>
      </c>
      <c r="L19" s="47">
        <f>'исх. данные'!K23/'исх. данные'!K26</f>
        <v>1.2420512087522604</v>
      </c>
      <c r="M19" s="47">
        <f>'исх. данные'!L23/'исх. данные'!L26</f>
        <v>1.239567106334756</v>
      </c>
    </row>
    <row r="20" spans="1:13" ht="62.25" customHeight="1" x14ac:dyDescent="0.25">
      <c r="A20" s="8" t="s">
        <v>42</v>
      </c>
      <c r="B20" s="15" t="s">
        <v>18</v>
      </c>
      <c r="C20" s="16" t="s">
        <v>65</v>
      </c>
      <c r="D20" s="16" t="s">
        <v>151</v>
      </c>
      <c r="E20" s="18">
        <f>'исх. данные'!D24/'исх. данные'!D26</f>
        <v>67.599410898379972</v>
      </c>
      <c r="F20" s="18">
        <f>'исх. данные'!E24/'исх. данные'!E26</f>
        <v>96.533333333333331</v>
      </c>
      <c r="G20" s="18">
        <f>'исх. данные'!F24/'исх. данные'!F26</f>
        <v>72.330654420206656</v>
      </c>
      <c r="H20" s="18">
        <f>'исх. данные'!G24/'исх. данные'!G26</f>
        <v>57.788944723618087</v>
      </c>
      <c r="I20" s="46">
        <f>'исх. данные'!H24/'исх. данные'!H26</f>
        <v>44.634948096885815</v>
      </c>
      <c r="J20" s="46">
        <f>'исх. данные'!I24/'исх. данные'!I26</f>
        <v>45.821579264617242</v>
      </c>
      <c r="K20" s="46">
        <f>'исх. данные'!J24/'исх. данные'!J26</f>
        <v>45.363363471971063</v>
      </c>
      <c r="L20" s="46">
        <f>'исх. данные'!K24/'исх. данные'!K26</f>
        <v>44.909729837251348</v>
      </c>
      <c r="M20" s="46">
        <f>'исх. данные'!L24/'исх. данные'!L26</f>
        <v>44.460632538878833</v>
      </c>
    </row>
    <row r="21" spans="1:13" ht="120" x14ac:dyDescent="0.25">
      <c r="A21" s="8" t="s">
        <v>43</v>
      </c>
      <c r="B21" s="15" t="s">
        <v>19</v>
      </c>
      <c r="C21" s="16" t="s">
        <v>60</v>
      </c>
      <c r="D21" s="16" t="s">
        <v>152</v>
      </c>
      <c r="E21" s="17">
        <f>'исх. данные'!D27/'исх. данные'!D28*100</f>
        <v>1700.8803521408563</v>
      </c>
      <c r="F21" s="16">
        <f>'исх. данные'!E27/'исх. данные'!E28</f>
        <v>0</v>
      </c>
      <c r="G21" s="16">
        <f>'исх. данные'!F27/'исх. данные'!F28</f>
        <v>0</v>
      </c>
      <c r="H21" s="16">
        <f>'исх. данные'!G27/'исх. данные'!G28</f>
        <v>0</v>
      </c>
      <c r="I21" s="22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48" x14ac:dyDescent="0.25">
      <c r="A22" s="8" t="s">
        <v>44</v>
      </c>
      <c r="B22" s="15" t="s">
        <v>20</v>
      </c>
      <c r="C22" s="16" t="s">
        <v>62</v>
      </c>
      <c r="D22" s="16" t="s">
        <v>153</v>
      </c>
      <c r="E22" s="16">
        <v>1</v>
      </c>
      <c r="F22" s="16">
        <v>0</v>
      </c>
      <c r="G22" s="16">
        <v>0</v>
      </c>
      <c r="H22" s="16">
        <v>0</v>
      </c>
      <c r="I22" s="22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24" customHeight="1" x14ac:dyDescent="0.25">
      <c r="A23" s="9">
        <v>3</v>
      </c>
      <c r="B23" s="77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36" x14ac:dyDescent="0.25">
      <c r="A24" s="9" t="s">
        <v>45</v>
      </c>
      <c r="B24" s="15" t="s">
        <v>22</v>
      </c>
      <c r="C24" s="16" t="s">
        <v>64</v>
      </c>
      <c r="D24" s="16" t="s">
        <v>154</v>
      </c>
      <c r="E24" s="19">
        <f>'исх. данные'!D29/'исх. данные'!D33</f>
        <v>0.12587085811384877</v>
      </c>
      <c r="F24" s="19">
        <f>'исх. данные'!E29/'исх. данные'!E33</f>
        <v>9.5569791666666667E-2</v>
      </c>
      <c r="G24" s="19">
        <f>'исх. данные'!F29/'исх. данные'!F33</f>
        <v>8.0790834431714489E-2</v>
      </c>
      <c r="H24" s="19">
        <f>'исх. данные'!G29/'исх. данные'!G33</f>
        <v>0.10862989146669322</v>
      </c>
      <c r="I24" s="47">
        <f>'исх. данные'!H29/'исх. данные'!H33</f>
        <v>0.1078774560519708</v>
      </c>
      <c r="J24" s="19">
        <f>'исх. данные'!I29/'исх. данные'!I33</f>
        <v>0.11348014275182086</v>
      </c>
      <c r="K24" s="19">
        <f>'исх. данные'!J29/'исх. данные'!J33</f>
        <v>0.11133062899418736</v>
      </c>
      <c r="L24" s="19">
        <f>'исх. данные'!K29/'исх. данные'!K33</f>
        <v>0.10923074169325515</v>
      </c>
      <c r="M24" s="19">
        <f>'исх. данные'!L29/'исх. данные'!L33</f>
        <v>0.10717904955824251</v>
      </c>
    </row>
    <row r="25" spans="1:13" ht="36" x14ac:dyDescent="0.25">
      <c r="A25" s="9" t="s">
        <v>46</v>
      </c>
      <c r="B25" s="15" t="s">
        <v>23</v>
      </c>
      <c r="C25" s="16" t="s">
        <v>65</v>
      </c>
      <c r="D25" s="16" t="s">
        <v>156</v>
      </c>
      <c r="E25" s="19">
        <f>'исх. данные'!D30/'исх. данные'!D34</f>
        <v>54.953861788617886</v>
      </c>
      <c r="F25" s="19">
        <f>'исх. данные'!E30/'исх. данные'!E34</f>
        <v>60.960095448926197</v>
      </c>
      <c r="G25" s="19">
        <f>'исх. данные'!F30/'исх. данные'!F34</f>
        <v>39.612311909316738</v>
      </c>
      <c r="H25" s="19">
        <f>'исх. данные'!G30/'исх. данные'!G34</f>
        <v>35.49964552080084</v>
      </c>
      <c r="I25" s="47">
        <f>'исх. данные'!H30/'исх. данные'!H34</f>
        <v>40.361366659277323</v>
      </c>
      <c r="J25" s="19">
        <f>'исх. данные'!I30/'исх. данные'!I34</f>
        <v>45.553459639833427</v>
      </c>
      <c r="K25" s="19">
        <f>'исх. данные'!J30/'исх. данные'!J34</f>
        <v>44.949172919930731</v>
      </c>
      <c r="L25" s="19">
        <f>'исх. данные'!K30/'исх. данные'!K34</f>
        <v>44.353384877126651</v>
      </c>
      <c r="M25" s="19">
        <f>'исх. данные'!L30/'исх. данные'!L34</f>
        <v>43.765966860162195</v>
      </c>
    </row>
    <row r="26" spans="1:13" ht="36" x14ac:dyDescent="0.25">
      <c r="A26" s="9" t="s">
        <v>47</v>
      </c>
      <c r="B26" s="15" t="s">
        <v>24</v>
      </c>
      <c r="C26" s="16" t="s">
        <v>65</v>
      </c>
      <c r="D26" s="16" t="s">
        <v>157</v>
      </c>
      <c r="E26" s="19">
        <f>'исх. данные'!D31/'исх. данные'!D34</f>
        <v>9.4599303135888508</v>
      </c>
      <c r="F26" s="19">
        <f>'исх. данные'!E31/'исх. данные'!E34</f>
        <v>8.800275996895035</v>
      </c>
      <c r="G26" s="19">
        <f>'исх. данные'!F31/'исх. данные'!F34</f>
        <v>7.9976015761071295</v>
      </c>
      <c r="H26" s="19">
        <f>'исх. данные'!G31/'исх. данные'!G34</f>
        <v>6.5008082125740865</v>
      </c>
      <c r="I26" s="47">
        <f>'исх. данные'!H31/'исх. данные'!H34</f>
        <v>8.388383950343604</v>
      </c>
      <c r="J26" s="19">
        <f>'исх. данные'!I31/'исх. данные'!I34</f>
        <v>6.6437219050770802</v>
      </c>
      <c r="K26" s="19">
        <f>'исх. данные'!J31/'исх. данные'!J34</f>
        <v>6.5555900057722436</v>
      </c>
      <c r="L26" s="19">
        <f>'исх. данные'!K31/'исх. данные'!K34</f>
        <v>6.4686975918467979</v>
      </c>
      <c r="M26" s="19">
        <f>'исх. данные'!L31/'исх. данные'!L34</f>
        <v>6.3830259002211838</v>
      </c>
    </row>
    <row r="27" spans="1:13" ht="36" x14ac:dyDescent="0.25">
      <c r="A27" s="9" t="s">
        <v>48</v>
      </c>
      <c r="B27" s="15" t="s">
        <v>25</v>
      </c>
      <c r="C27" s="16" t="s">
        <v>63</v>
      </c>
      <c r="D27" s="16" t="s">
        <v>155</v>
      </c>
      <c r="E27" s="19">
        <f>'исх. данные'!D32/'исх. данные'!D33</f>
        <v>18.707837723024639</v>
      </c>
      <c r="F27" s="19">
        <f>'исх. данные'!E32/'исх. данные'!E33</f>
        <v>18.492812499999999</v>
      </c>
      <c r="G27" s="19">
        <f>'исх. данные'!F32/'исх. данные'!F33</f>
        <v>19.645848119233499</v>
      </c>
      <c r="H27" s="19">
        <f>'исх. данные'!G32/'исх. данные'!G33</f>
        <v>16.786304888977398</v>
      </c>
      <c r="I27" s="47">
        <f>'исх. данные'!H32/'исх. данные'!H33</f>
        <v>17.151548319688938</v>
      </c>
      <c r="J27" s="19">
        <f>'исх. данные'!I32/'исх. данные'!I33</f>
        <v>16.257970039941345</v>
      </c>
      <c r="K27" s="19">
        <f>'исх. данные'!J32/'исх. данные'!J33</f>
        <v>15.950015454895789</v>
      </c>
      <c r="L27" s="19">
        <f>'исх. данные'!K32/'исх. данные'!K33</f>
        <v>15.649170707982909</v>
      </c>
      <c r="M27" s="19">
        <f>'исх. данные'!L32/'исх. данные'!L33</f>
        <v>15.355230742334747</v>
      </c>
    </row>
    <row r="28" spans="1:13" ht="60" x14ac:dyDescent="0.25">
      <c r="A28" s="9" t="s">
        <v>49</v>
      </c>
      <c r="B28" s="15" t="s">
        <v>26</v>
      </c>
      <c r="C28" s="16" t="s">
        <v>171</v>
      </c>
      <c r="D28" s="16" t="s">
        <v>158</v>
      </c>
      <c r="E28" s="19">
        <f>'исх. данные'!D35/'исх. данные'!D36</f>
        <v>1.3661087866108786E-2</v>
      </c>
      <c r="F28" s="19">
        <f>'исх. данные'!E35/'исх. данные'!E36</f>
        <v>1.29E-2</v>
      </c>
      <c r="G28" s="19">
        <f>'исх. данные'!F35/'исх. данные'!F36</f>
        <v>1.2339413164155433E-2</v>
      </c>
      <c r="H28" s="19">
        <f>'исх. данные'!G35/'исх. данные'!G36</f>
        <v>1.9709908878813225E-2</v>
      </c>
      <c r="I28" s="47">
        <f>'исх. данные'!H35/'исх. данные'!H36</f>
        <v>2.1615536182315001E-2</v>
      </c>
      <c r="J28" s="19">
        <f>'исх. данные'!I35/'исх. данные'!I36</f>
        <v>2.5447474018079945E-2</v>
      </c>
      <c r="K28" s="19">
        <f>'исх. данные'!J35/'исх. данные'!J36</f>
        <v>2.4905186753230651E-2</v>
      </c>
      <c r="L28" s="19">
        <f>'исх. данные'!K35/'исх. данные'!K36</f>
        <v>2.4397902141697379E-2</v>
      </c>
      <c r="M28" s="19">
        <f>'исх. данные'!L35/'исх. данные'!L36</f>
        <v>2.3922578192622369E-2</v>
      </c>
    </row>
    <row r="29" spans="1:13" ht="48" x14ac:dyDescent="0.25">
      <c r="A29" s="9" t="s">
        <v>50</v>
      </c>
      <c r="B29" s="15" t="s">
        <v>27</v>
      </c>
      <c r="C29" s="16" t="s">
        <v>66</v>
      </c>
      <c r="D29" s="16" t="s">
        <v>159</v>
      </c>
      <c r="E29" s="19">
        <f>'исх. данные'!D37/'исх. данные'!D38</f>
        <v>0.33477145874189168</v>
      </c>
      <c r="F29" s="19">
        <f>'исх. данные'!E37/'исх. данные'!E38</f>
        <v>0.33061531517978038</v>
      </c>
      <c r="G29" s="19">
        <f>'исх. данные'!F37/'исх. данные'!F38</f>
        <v>0.25377443609022554</v>
      </c>
      <c r="H29" s="19">
        <f>'исх. данные'!G37/'исх. данные'!G38</f>
        <v>0.17792072095605041</v>
      </c>
      <c r="I29" s="47">
        <f>'исх. данные'!H37/'исх. данные'!H38</f>
        <v>0.16674547456364755</v>
      </c>
      <c r="J29" s="19">
        <f>'исх. данные'!I37/'исх. данные'!I38</f>
        <v>0.16644710071210581</v>
      </c>
      <c r="K29" s="19">
        <f>'исх. данные'!J37/'исх. данные'!J38</f>
        <v>0.16446891737530142</v>
      </c>
      <c r="L29" s="19">
        <f>'исх. данные'!K37/'исх. данные'!K38</f>
        <v>0.16251483329110716</v>
      </c>
      <c r="M29" s="19">
        <f>'исх. данные'!L37/'исх. данные'!L38</f>
        <v>0.16058454584144646</v>
      </c>
    </row>
    <row r="30" spans="1:13" ht="36" x14ac:dyDescent="0.25">
      <c r="A30" s="9" t="s">
        <v>51</v>
      </c>
      <c r="B30" s="15" t="s">
        <v>28</v>
      </c>
      <c r="C30" s="16" t="s">
        <v>172</v>
      </c>
      <c r="D30" s="16" t="s">
        <v>160</v>
      </c>
      <c r="E30" s="20">
        <f>'исх. данные'!D39/'исх. данные'!D33</f>
        <v>2.3190533609515722E-3</v>
      </c>
      <c r="F30" s="20">
        <f>'исх. данные'!E39/'исх. данные'!E33</f>
        <v>2.2882779853666668E-3</v>
      </c>
      <c r="G30" s="20">
        <f>'исх. данные'!F39/'исх. данные'!F33</f>
        <v>2.4279877607056681E-3</v>
      </c>
      <c r="H30" s="20">
        <f>'исх. данные'!G39/'исх. данные'!G33</f>
        <v>2.0802360392711346E-3</v>
      </c>
      <c r="I30" s="48">
        <f>'исх. данные'!H39/'исх. данные'!H33</f>
        <v>2.1250539530379988E-3</v>
      </c>
      <c r="J30" s="20">
        <f>'исх. данные'!I39/'исх. данные'!I33</f>
        <v>2.0159445055875753E-3</v>
      </c>
      <c r="K30" s="20">
        <f>'исх. данные'!J39/'исх. данные'!J33</f>
        <v>1.9777590297788417E-3</v>
      </c>
      <c r="L30" s="20">
        <f>'исх. данные'!K39/'исх. данные'!K33</f>
        <v>1.9404551536168055E-3</v>
      </c>
      <c r="M30" s="20">
        <f>'исх. данные'!L39/'исх. данные'!L33</f>
        <v>1.9040074506384978E-3</v>
      </c>
    </row>
    <row r="31" spans="1:13" ht="20.25" customHeight="1" x14ac:dyDescent="0.25">
      <c r="A31" s="8">
        <v>4</v>
      </c>
      <c r="B31" s="77" t="s">
        <v>29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</row>
    <row r="32" spans="1:13" ht="42" customHeight="1" x14ac:dyDescent="0.25">
      <c r="A32" s="8" t="s">
        <v>52</v>
      </c>
      <c r="B32" s="15" t="s">
        <v>30</v>
      </c>
      <c r="C32" s="16" t="s">
        <v>67</v>
      </c>
      <c r="D32" s="16" t="s">
        <v>161</v>
      </c>
      <c r="E32" s="17">
        <f>'исх. данные'!D40/'исх. данные'!D41</f>
        <v>159759.82532751092</v>
      </c>
      <c r="F32" s="17">
        <f>'исх. данные'!E40/'исх. данные'!E41</f>
        <v>165245.45454545456</v>
      </c>
      <c r="G32" s="17">
        <f>'исх. данные'!F40/'исх. данные'!F41</f>
        <v>174538.81278538812</v>
      </c>
      <c r="H32" s="17">
        <f>'исх. данные'!G40/'исх. данные'!G41</f>
        <v>161531.57894736843</v>
      </c>
      <c r="I32" s="45">
        <f>'исх. данные'!H40/'исх. данные'!H41</f>
        <v>171290.64039408867</v>
      </c>
      <c r="J32" s="45">
        <f>'исх. данные'!I40/'исх. данные'!I41</f>
        <v>169431.37254901961</v>
      </c>
      <c r="K32" s="45">
        <f>'исх. данные'!J40/'исх. данные'!J41</f>
        <v>168800.50198604146</v>
      </c>
      <c r="L32" s="45">
        <f>'исх. данные'!K40/'исх. данные'!K41</f>
        <v>168171.98044297175</v>
      </c>
      <c r="M32" s="45">
        <f>'исх. данные'!L40/'исх. данные'!L41</f>
        <v>167545.79917333403</v>
      </c>
    </row>
    <row r="33" spans="1:13" ht="38.25" customHeight="1" x14ac:dyDescent="0.25">
      <c r="A33" s="8" t="s">
        <v>53</v>
      </c>
      <c r="B33" s="15" t="s">
        <v>31</v>
      </c>
      <c r="C33" s="16" t="s">
        <v>68</v>
      </c>
      <c r="D33" s="16" t="s">
        <v>162</v>
      </c>
      <c r="E33" s="20">
        <f>'исх. данные'!D42/'исх. данные'!D43</f>
        <v>0.16597409277331854</v>
      </c>
      <c r="F33" s="20">
        <f>'исх. данные'!E42/'исх. данные'!E43</f>
        <v>0.16551016968198673</v>
      </c>
      <c r="G33" s="20">
        <f>'исх. данные'!F42/'исх. данные'!F43</f>
        <v>0.16492861237749448</v>
      </c>
      <c r="H33" s="20">
        <f>'исх. данные'!G42/'исх. данные'!G43</f>
        <v>0.16707806491696472</v>
      </c>
      <c r="I33" s="48">
        <f>'исх. данные'!H42/'исх. данные'!H43</f>
        <v>0.16424941774295998</v>
      </c>
      <c r="J33" s="48">
        <f>'исх. данные'!I42/'исх. данные'!I43</f>
        <v>0.1626010905486901</v>
      </c>
      <c r="K33" s="48">
        <f>'исх. данные'!J42/'исх. данные'!J43</f>
        <v>0.16250000000000001</v>
      </c>
      <c r="L33" s="48">
        <f>'исх. данные'!K42/'исх. данные'!K43</f>
        <v>0.16200000000000001</v>
      </c>
      <c r="M33" s="48">
        <f>'исх. данные'!L42/'исх. данные'!L43</f>
        <v>0.1615</v>
      </c>
    </row>
    <row r="34" spans="1:13" ht="36" x14ac:dyDescent="0.25">
      <c r="A34" s="8" t="s">
        <v>54</v>
      </c>
      <c r="B34" s="15" t="s">
        <v>32</v>
      </c>
      <c r="C34" s="16" t="s">
        <v>173</v>
      </c>
      <c r="D34" s="16" t="s">
        <v>163</v>
      </c>
      <c r="E34" s="19">
        <f>'исх. данные'!D44/'исх. данные'!D45</f>
        <v>0.35283146829433704</v>
      </c>
      <c r="F34" s="19">
        <f>'исх. данные'!E44/'исх. данные'!E45</f>
        <v>0.32529575766709368</v>
      </c>
      <c r="G34" s="19">
        <f>'исх. данные'!F44/'исх. данные'!F45</f>
        <v>0.33569722845357841</v>
      </c>
      <c r="H34" s="19">
        <f>'исх. данные'!G44/'исх. данные'!G45</f>
        <v>0.4990419787493468</v>
      </c>
      <c r="I34" s="47">
        <f>'исх. данные'!H44/'исх. данные'!H45</f>
        <v>0.47640947546531304</v>
      </c>
      <c r="J34" s="19">
        <f>'исх. данные'!I44/'исх. данные'!I45</f>
        <v>0.47803852912742079</v>
      </c>
      <c r="K34" s="19">
        <f>'исх. данные'!J44/'исх. данные'!J45</f>
        <v>0.47499999999999998</v>
      </c>
      <c r="L34" s="19">
        <f>'исх. данные'!K44/'исх. данные'!K45</f>
        <v>0.47300000000000003</v>
      </c>
      <c r="M34" s="19">
        <f>'исх. данные'!L44/'исх. данные'!L45</f>
        <v>0.47</v>
      </c>
    </row>
    <row r="35" spans="1:13" ht="36" x14ac:dyDescent="0.25">
      <c r="A35" s="8" t="s">
        <v>55</v>
      </c>
      <c r="B35" s="15" t="s">
        <v>33</v>
      </c>
      <c r="C35" s="16" t="s">
        <v>60</v>
      </c>
      <c r="D35" s="16" t="s">
        <v>164</v>
      </c>
      <c r="E35" s="18">
        <f>'исх. данные'!D46/'исх. данные'!D47*100</f>
        <v>4.445450671212444</v>
      </c>
      <c r="F35" s="18">
        <f>'исх. данные'!E46/'исх. данные'!E47*100</f>
        <v>4.4766220049816337</v>
      </c>
      <c r="G35" s="18">
        <f>'исх. данные'!F46/'исх. данные'!F47*100</f>
        <v>4.3986989909906171</v>
      </c>
      <c r="H35" s="18">
        <f>'исх. данные'!G46/'исх. данные'!G47*100</f>
        <v>9.7005351352776277</v>
      </c>
      <c r="I35" s="46">
        <f>'исх. данные'!H46/'исх. данные'!H47*100</f>
        <v>14.621335116034761</v>
      </c>
      <c r="J35" s="18">
        <f>'исх. данные'!I46/'исх. данные'!I47*100</f>
        <v>14.58495978385081</v>
      </c>
      <c r="K35" s="18">
        <f>'исх. данные'!J46/'исх. данные'!J47*100</f>
        <v>14.56</v>
      </c>
      <c r="L35" s="18">
        <f>'исх. данные'!K46/'исх. данные'!K47*100</f>
        <v>14.549999999999999</v>
      </c>
      <c r="M35" s="18">
        <f>'исх. данные'!L46/'исх. данные'!L47*100</f>
        <v>14.529999999999998</v>
      </c>
    </row>
    <row r="36" spans="1:13" ht="48" x14ac:dyDescent="0.25">
      <c r="A36" s="8" t="s">
        <v>56</v>
      </c>
      <c r="B36" s="15" t="s">
        <v>34</v>
      </c>
      <c r="C36" s="16" t="s">
        <v>60</v>
      </c>
      <c r="D36" s="16" t="s">
        <v>165</v>
      </c>
      <c r="E36" s="18">
        <f>('исх. данные'!D48/('исх. данные'!D48+'исх. данные'!D10+4))*100</f>
        <v>9.3107617896009671</v>
      </c>
      <c r="F36" s="18">
        <f>('исх. данные'!E48/('исх. данные'!E48+'исх. данные'!E10+4))*100</f>
        <v>9.5670764297167299</v>
      </c>
      <c r="G36" s="18">
        <f>('исх. данные'!F48/('исх. данные'!F48+'исх. данные'!F10+4))*100</f>
        <v>9.085841694537347</v>
      </c>
      <c r="H36" s="18">
        <f>('исх. данные'!G48/('исх. данные'!G48+'исх. данные'!G10+4))*100</f>
        <v>9.0909090909090917</v>
      </c>
      <c r="I36" s="46">
        <f>('исх. данные'!H48/('исх. данные'!H48+'исх. данные'!H10+'исх. данные'!H11))*100</f>
        <v>8.3249748689300915</v>
      </c>
      <c r="J36" s="46">
        <f>('исх. данные'!I48/('исх. данные'!I48+'исх. данные'!I10+'исх. данные'!I11))*100</f>
        <v>8.2264066667186029</v>
      </c>
      <c r="K36" s="46">
        <f>('исх. данные'!J48/('исх. данные'!J48+'исх. данные'!J10+'исх. данные'!J11))*100</f>
        <v>8.2111522750245616</v>
      </c>
      <c r="L36" s="46">
        <f>('исх. данные'!K48/('исх. данные'!K48+'исх. данные'!K10+'исх. данные'!K11))*100</f>
        <v>8.188307432954991</v>
      </c>
      <c r="M36" s="46">
        <f>('исх. данные'!L48/('исх. данные'!L48+'исх. данные'!L10+'исх. данные'!L11))*100</f>
        <v>8.1579223352903458</v>
      </c>
    </row>
    <row r="37" spans="1:13" ht="48" x14ac:dyDescent="0.25">
      <c r="A37" s="8" t="s">
        <v>57</v>
      </c>
      <c r="B37" s="15" t="s">
        <v>35</v>
      </c>
      <c r="C37" s="16" t="s">
        <v>174</v>
      </c>
      <c r="D37" s="16" t="s">
        <v>169</v>
      </c>
      <c r="E37" s="19">
        <f>'исх. данные'!D49/('исх. данные'!D48+'исх. данные'!D10+'исх. данные'!D11)</f>
        <v>0.62311989686291358</v>
      </c>
      <c r="F37" s="19">
        <f>'исх. данные'!E49/('исх. данные'!E48+'исх. данные'!E10+'исх. данные'!E11)</f>
        <v>0.6692725555030703</v>
      </c>
      <c r="G37" s="19">
        <f>'исх. данные'!F49/('исх. данные'!F48+'исх. данные'!F10+'исх. данные'!F11)</f>
        <v>0.64831474597273853</v>
      </c>
      <c r="H37" s="19">
        <f>'исх. данные'!G49/('исх. данные'!G48+'исх. данные'!G10+'исх. данные'!G11)</f>
        <v>0.75086875167067624</v>
      </c>
      <c r="I37" s="47">
        <f>'исх. данные'!H49/('исх. данные'!H48+'исх. данные'!H10+'исх. данные'!H11)</f>
        <v>0.4960793860641779</v>
      </c>
      <c r="J37" s="19">
        <f>'исх. данные'!I49/('исх. данные'!I48+'исх. данные'!I10+'исх. данные'!I11)</f>
        <v>0.43939264095232894</v>
      </c>
      <c r="K37" s="19">
        <f>'исх. данные'!J49/('исх. данные'!J48+'исх. данные'!J10+'исх. данные'!J11)</f>
        <v>0.43813396159878881</v>
      </c>
      <c r="L37" s="19">
        <f>'исх. данные'!K49/('исх. данные'!K48+'исх. данные'!K10+'исх. данные'!K11)</f>
        <v>0.43647232763513855</v>
      </c>
      <c r="M37" s="19">
        <f>'исх. данные'!L49/('исх. данные'!L48+'исх. данные'!L10+'исх. данные'!L11)</f>
        <v>0.43441164299396262</v>
      </c>
    </row>
    <row r="38" spans="1:13" ht="36" x14ac:dyDescent="0.25">
      <c r="A38" s="8" t="s">
        <v>58</v>
      </c>
      <c r="B38" s="15" t="s">
        <v>36</v>
      </c>
      <c r="C38" s="16" t="s">
        <v>69</v>
      </c>
      <c r="D38" s="16" t="s">
        <v>166</v>
      </c>
      <c r="E38" s="19">
        <f>'исх. данные'!D50/'исх. данные'!D51</f>
        <v>0.57479826194909989</v>
      </c>
      <c r="F38" s="19">
        <f>'исх. данные'!E50/'исх. данные'!E51</f>
        <v>0.61280487804878048</v>
      </c>
      <c r="G38" s="19">
        <f>'исх. данные'!F50/'исх. данные'!F51</f>
        <v>0.67309090909090907</v>
      </c>
      <c r="H38" s="19">
        <f>'исх. данные'!G50/'исх. данные'!G51</f>
        <v>0.64369114877589451</v>
      </c>
      <c r="I38" s="47">
        <f>'исх. данные'!H50/'исх. данные'!H51</f>
        <v>0.58413266447263323</v>
      </c>
      <c r="J38" s="19">
        <f>'исх. данные'!I50/'исх. данные'!I51</f>
        <v>0.63216623534784588</v>
      </c>
      <c r="K38" s="19">
        <f>'исх. данные'!J50/'исх. данные'!J51</f>
        <v>0.63</v>
      </c>
      <c r="L38" s="19">
        <f>'исх. данные'!K50/'исх. данные'!K51</f>
        <v>0.629</v>
      </c>
      <c r="M38" s="19">
        <f>'исх. данные'!L50/'исх. данные'!L51</f>
        <v>0.628</v>
      </c>
    </row>
    <row r="39" spans="1:13" ht="60" x14ac:dyDescent="0.25">
      <c r="A39" s="8" t="s">
        <v>59</v>
      </c>
      <c r="B39" s="15" t="s">
        <v>37</v>
      </c>
      <c r="C39" s="16" t="s">
        <v>63</v>
      </c>
      <c r="D39" s="16" t="s">
        <v>167</v>
      </c>
      <c r="E39" s="19">
        <f>'исх. данные'!D52/'исх. данные'!D53</f>
        <v>1.6288282250169441</v>
      </c>
      <c r="F39" s="19">
        <f>'исх. данные'!E52/'исх. данные'!E53</f>
        <v>1.0987965961292265</v>
      </c>
      <c r="G39" s="19">
        <f>'исх. данные'!F52/'исх. данные'!F53</f>
        <v>1.1210309511258378</v>
      </c>
      <c r="H39" s="19">
        <f>'исх. данные'!G52/'исх. данные'!G53</f>
        <v>1.308160391566265</v>
      </c>
      <c r="I39" s="47">
        <f>'исх. данные'!H52/'исх. данные'!H53</f>
        <v>1.303665386642572</v>
      </c>
      <c r="J39" s="19">
        <f>'исх. данные'!I52/'исх. данные'!I53</f>
        <v>1.3411949401400496</v>
      </c>
      <c r="K39" s="19">
        <f>'исх. данные'!J52/'исх. данные'!J53</f>
        <v>1.3385125502597695</v>
      </c>
      <c r="L39" s="19">
        <f>'исх. данные'!K52/'исх. данные'!K53</f>
        <v>1.33583552515925</v>
      </c>
      <c r="M39" s="19">
        <f>'исх. данные'!L52/'исх. данные'!L53</f>
        <v>1.3331638541089315</v>
      </c>
    </row>
    <row r="40" spans="1:13" ht="20.25" customHeight="1" x14ac:dyDescent="0.25">
      <c r="A40" s="10">
        <v>5</v>
      </c>
      <c r="B40" s="64" t="s">
        <v>123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92" customHeight="1" x14ac:dyDescent="0.25">
      <c r="A41" s="11" t="s">
        <v>126</v>
      </c>
      <c r="B41" s="21" t="s">
        <v>124</v>
      </c>
      <c r="C41" s="22" t="s">
        <v>62</v>
      </c>
      <c r="D41" s="16" t="s">
        <v>153</v>
      </c>
      <c r="E41" s="16">
        <v>0</v>
      </c>
      <c r="F41" s="16">
        <v>0</v>
      </c>
      <c r="G41" s="16">
        <v>0</v>
      </c>
      <c r="H41" s="16">
        <v>0</v>
      </c>
      <c r="I41" s="22">
        <v>0</v>
      </c>
      <c r="J41" s="16">
        <v>0</v>
      </c>
      <c r="K41" s="16">
        <v>0</v>
      </c>
      <c r="L41" s="16">
        <v>0</v>
      </c>
      <c r="M41" s="16">
        <v>0</v>
      </c>
    </row>
    <row r="42" spans="1:13" ht="78" customHeight="1" x14ac:dyDescent="0.25">
      <c r="A42" s="11" t="s">
        <v>127</v>
      </c>
      <c r="B42" s="15" t="s">
        <v>125</v>
      </c>
      <c r="C42" s="22" t="s">
        <v>62</v>
      </c>
      <c r="D42" s="16" t="s">
        <v>153</v>
      </c>
      <c r="E42" s="16">
        <v>0</v>
      </c>
      <c r="F42" s="16">
        <v>0</v>
      </c>
      <c r="G42" s="16">
        <v>0</v>
      </c>
      <c r="H42" s="16">
        <v>0</v>
      </c>
      <c r="I42" s="22">
        <v>0</v>
      </c>
      <c r="J42" s="16">
        <v>0</v>
      </c>
      <c r="K42" s="16">
        <v>0</v>
      </c>
      <c r="L42" s="16">
        <v>0</v>
      </c>
      <c r="M42" s="16">
        <v>0</v>
      </c>
    </row>
    <row r="43" spans="1:13" x14ac:dyDescent="0.25">
      <c r="A43" s="12"/>
      <c r="B43" s="13"/>
      <c r="C43" s="13"/>
      <c r="D43" s="13"/>
      <c r="E43" s="13"/>
      <c r="F43" s="13"/>
      <c r="G43" s="13"/>
      <c r="H43" s="13"/>
      <c r="I43" s="49"/>
      <c r="J43" s="13"/>
      <c r="K43" s="13"/>
      <c r="L43" s="13"/>
      <c r="M43" s="13"/>
    </row>
    <row r="44" spans="1:13" x14ac:dyDescent="0.25">
      <c r="A44" s="12"/>
      <c r="B44" s="13"/>
      <c r="C44" s="13"/>
      <c r="D44" s="13"/>
      <c r="E44" s="13"/>
      <c r="F44" s="13"/>
      <c r="G44" s="13"/>
      <c r="H44" s="13"/>
      <c r="I44" s="49"/>
      <c r="J44" s="13"/>
      <c r="K44" s="13"/>
      <c r="L44" s="13"/>
      <c r="M44" s="13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50"/>
      <c r="J45" s="12"/>
      <c r="K45" s="12"/>
      <c r="L45" s="12"/>
      <c r="M45" s="12"/>
    </row>
  </sheetData>
  <mergeCells count="15">
    <mergeCell ref="F1:M1"/>
    <mergeCell ref="G6:M6"/>
    <mergeCell ref="B40:M40"/>
    <mergeCell ref="F2:M2"/>
    <mergeCell ref="F3:M3"/>
    <mergeCell ref="A5:M5"/>
    <mergeCell ref="B8:M8"/>
    <mergeCell ref="G4:M4"/>
    <mergeCell ref="A6:A7"/>
    <mergeCell ref="B6:B7"/>
    <mergeCell ref="C6:C7"/>
    <mergeCell ref="D6:D7"/>
    <mergeCell ref="B15:M15"/>
    <mergeCell ref="B23:M23"/>
    <mergeCell ref="B31:M31"/>
  </mergeCells>
  <phoneticPr fontId="6" type="noConversion"/>
  <pageMargins left="0.31496062992125984" right="0.31496062992125984" top="0.55118110236220474" bottom="0.15748031496062992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исх. данные</vt:lpstr>
      <vt:lpstr>приложение 10 </vt:lpstr>
      <vt:lpstr>'исх. данные'!Заголовки_для_печати</vt:lpstr>
      <vt:lpstr>'приложение 10 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206MO</dc:creator>
  <cp:lastModifiedBy>202MO</cp:lastModifiedBy>
  <cp:lastPrinted>2018-05-31T11:41:52Z</cp:lastPrinted>
  <dcterms:created xsi:type="dcterms:W3CDTF">2015-02-13T07:33:04Z</dcterms:created>
  <dcterms:modified xsi:type="dcterms:W3CDTF">2018-05-31T11:41:54Z</dcterms:modified>
</cp:coreProperties>
</file>