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05" windowWidth="19155" windowHeight="11760"/>
  </bookViews>
  <sheets>
    <sheet name="исх. данные" sheetId="4" r:id="rId1"/>
    <sheet name="приложение 10 " sheetId="1" r:id="rId2"/>
  </sheets>
  <definedNames>
    <definedName name="_xlnm.Print_Titles" localSheetId="0">'исх. данные'!$9:$10</definedName>
    <definedName name="_xlnm.Print_Titles" localSheetId="1">'приложение 10 '!$9:$10</definedName>
  </definedNames>
  <calcPr calcId="144525"/>
</workbook>
</file>

<file path=xl/calcChain.xml><?xml version="1.0" encoding="utf-8"?>
<calcChain xmlns="http://schemas.openxmlformats.org/spreadsheetml/2006/main">
  <c r="I42" i="4" l="1"/>
  <c r="J55" i="4" l="1"/>
  <c r="K55" i="4" s="1"/>
  <c r="L55" i="4" s="1"/>
  <c r="J52" i="4"/>
  <c r="K52" i="4" s="1"/>
  <c r="L52" i="4" s="1"/>
  <c r="K51" i="4"/>
  <c r="L51" i="4" s="1"/>
  <c r="J51" i="4"/>
  <c r="J56" i="4"/>
  <c r="K56" i="4" s="1"/>
  <c r="L56" i="4" s="1"/>
  <c r="J40" i="4"/>
  <c r="K40" i="4" s="1"/>
  <c r="L40" i="4" s="1"/>
  <c r="J33" i="4"/>
  <c r="K33" i="4" s="1"/>
  <c r="L33" i="4" s="1"/>
  <c r="J15" i="1"/>
  <c r="J53" i="4" l="1"/>
  <c r="J54" i="4" s="1"/>
  <c r="J35" i="4"/>
  <c r="K35" i="4" s="1"/>
  <c r="L35" i="4" s="1"/>
  <c r="J15" i="4"/>
  <c r="K15" i="4" s="1"/>
  <c r="L15" i="4" s="1"/>
  <c r="J11" i="4"/>
  <c r="K11" i="4" s="1"/>
  <c r="L11" i="4" s="1"/>
  <c r="K53" i="4" l="1"/>
  <c r="J43" i="4"/>
  <c r="K43" i="4" s="1"/>
  <c r="L43" i="4" s="1"/>
  <c r="J45" i="4"/>
  <c r="J46" i="4" s="1"/>
  <c r="K54" i="4" l="1"/>
  <c r="L53" i="4"/>
  <c r="L54" i="4" s="1"/>
  <c r="K45" i="4"/>
  <c r="K46" i="4" s="1"/>
  <c r="H25" i="4"/>
  <c r="H24" i="4"/>
  <c r="H23" i="4"/>
  <c r="J38" i="4"/>
  <c r="K38" i="4" s="1"/>
  <c r="L38" i="4" s="1"/>
  <c r="L45" i="4" l="1"/>
  <c r="L46" i="4" s="1"/>
  <c r="I39" i="1"/>
  <c r="G39" i="1" l="1"/>
  <c r="J27" i="4"/>
  <c r="K27" i="4" s="1"/>
  <c r="J24" i="4"/>
  <c r="K24" i="4" s="1"/>
  <c r="L24" i="4" s="1"/>
  <c r="J23" i="4"/>
  <c r="K23" i="4" s="1"/>
  <c r="L23" i="4" s="1"/>
  <c r="J49" i="4"/>
  <c r="J47" i="4"/>
  <c r="J44" i="4"/>
  <c r="K44" i="4" s="1"/>
  <c r="L44" i="4" s="1"/>
  <c r="J34" i="4"/>
  <c r="K34" i="4" s="1"/>
  <c r="L34" i="4" s="1"/>
  <c r="J39" i="1"/>
  <c r="H16" i="4"/>
  <c r="K49" i="4" l="1"/>
  <c r="J50" i="4"/>
  <c r="K47" i="4"/>
  <c r="J48" i="4"/>
  <c r="L27" i="4"/>
  <c r="L47" i="4" l="1"/>
  <c r="L48" i="4" s="1"/>
  <c r="K48" i="4"/>
  <c r="L49" i="4"/>
  <c r="L50" i="4" s="1"/>
  <c r="K50" i="4"/>
  <c r="H42" i="4"/>
  <c r="H29" i="4" l="1"/>
  <c r="J29" i="4" l="1"/>
  <c r="J23" i="1"/>
  <c r="J22" i="1"/>
  <c r="H50" i="4"/>
  <c r="H27" i="4"/>
  <c r="I23" i="1" s="1"/>
  <c r="I22" i="1"/>
  <c r="H28" i="4"/>
  <c r="I20" i="1" s="1"/>
  <c r="I21" i="1"/>
  <c r="I16" i="1"/>
  <c r="I15" i="1"/>
  <c r="I14" i="1"/>
  <c r="I13" i="1"/>
  <c r="I41" i="1"/>
  <c r="I40" i="1"/>
  <c r="I38" i="1"/>
  <c r="I37" i="1"/>
  <c r="I36" i="1"/>
  <c r="I35" i="1"/>
  <c r="I33" i="1"/>
  <c r="I32" i="1"/>
  <c r="I31" i="1"/>
  <c r="I30" i="1"/>
  <c r="I29" i="1"/>
  <c r="I28" i="1"/>
  <c r="I27" i="1"/>
  <c r="I17" i="1"/>
  <c r="I12" i="1"/>
  <c r="K29" i="4" l="1"/>
  <c r="K23" i="1"/>
  <c r="I19" i="1"/>
  <c r="G42" i="4"/>
  <c r="L29" i="4" l="1"/>
  <c r="M23" i="1" s="1"/>
  <c r="L23" i="1"/>
  <c r="M20" i="1"/>
  <c r="L20" i="1"/>
  <c r="L16" i="4"/>
  <c r="M12" i="1" s="1"/>
  <c r="F46" i="4"/>
  <c r="H36" i="1"/>
  <c r="F45" i="4"/>
  <c r="E46" i="4"/>
  <c r="E45" i="4"/>
  <c r="F36" i="1" s="1"/>
  <c r="D46" i="4"/>
  <c r="D45" i="4"/>
  <c r="F42" i="4"/>
  <c r="G33" i="1" s="1"/>
  <c r="E42" i="4"/>
  <c r="D42" i="4"/>
  <c r="E33" i="1" s="1"/>
  <c r="G40" i="1"/>
  <c r="F40" i="1"/>
  <c r="E40" i="1"/>
  <c r="G42" i="1"/>
  <c r="F42" i="1"/>
  <c r="E42" i="1"/>
  <c r="G41" i="1"/>
  <c r="F41" i="1"/>
  <c r="E41" i="1"/>
  <c r="F39" i="1"/>
  <c r="E39" i="1"/>
  <c r="G37" i="1"/>
  <c r="F37" i="1"/>
  <c r="E37" i="1"/>
  <c r="G36" i="1"/>
  <c r="G35" i="1"/>
  <c r="F35" i="1"/>
  <c r="E35" i="1"/>
  <c r="F33" i="1"/>
  <c r="G32" i="1"/>
  <c r="F32" i="1"/>
  <c r="E32" i="1"/>
  <c r="G31" i="1"/>
  <c r="F31" i="1"/>
  <c r="E31" i="1"/>
  <c r="G30" i="1"/>
  <c r="F30" i="1"/>
  <c r="E30" i="1"/>
  <c r="G29" i="1"/>
  <c r="F29" i="1"/>
  <c r="E29" i="1"/>
  <c r="G28" i="1"/>
  <c r="F28" i="1"/>
  <c r="E28" i="1"/>
  <c r="G27" i="1"/>
  <c r="F27" i="1"/>
  <c r="E24" i="1"/>
  <c r="E27" i="1"/>
  <c r="H24" i="1"/>
  <c r="G24" i="1"/>
  <c r="F24" i="1"/>
  <c r="G17" i="1"/>
  <c r="F17" i="1"/>
  <c r="E17" i="1"/>
  <c r="F16" i="1"/>
  <c r="E16" i="1"/>
  <c r="F15" i="1"/>
  <c r="E15" i="1"/>
  <c r="G14" i="1"/>
  <c r="F14" i="1"/>
  <c r="E14" i="1"/>
  <c r="F13" i="1"/>
  <c r="E13" i="1"/>
  <c r="G12" i="1"/>
  <c r="F12" i="1"/>
  <c r="E12" i="1"/>
  <c r="G56" i="4"/>
  <c r="H35" i="1"/>
  <c r="F24" i="4"/>
  <c r="F29" i="4"/>
  <c r="G22" i="1" s="1"/>
  <c r="E29" i="4"/>
  <c r="F22" i="1" s="1"/>
  <c r="D29" i="4"/>
  <c r="E22" i="1" s="1"/>
  <c r="F28" i="4"/>
  <c r="E28" i="4"/>
  <c r="D28" i="4"/>
  <c r="F27" i="4"/>
  <c r="G23" i="1" s="1"/>
  <c r="E27" i="4"/>
  <c r="F23" i="1" s="1"/>
  <c r="D27" i="4"/>
  <c r="E23" i="1" s="1"/>
  <c r="F25" i="4"/>
  <c r="E25" i="4"/>
  <c r="D25" i="4"/>
  <c r="E24" i="4"/>
  <c r="F20" i="1" s="1"/>
  <c r="D24" i="4"/>
  <c r="E20" i="1" s="1"/>
  <c r="F23" i="4"/>
  <c r="E23" i="4"/>
  <c r="D23" i="4"/>
  <c r="H31" i="1"/>
  <c r="H32" i="1"/>
  <c r="H17" i="1"/>
  <c r="H14" i="1"/>
  <c r="H41" i="1"/>
  <c r="F50" i="4"/>
  <c r="G38" i="1" s="1"/>
  <c r="E50" i="4"/>
  <c r="F38" i="1" s="1"/>
  <c r="D50" i="4"/>
  <c r="E38" i="1" s="1"/>
  <c r="H37" i="1"/>
  <c r="H29" i="1"/>
  <c r="H27" i="1"/>
  <c r="G16" i="4"/>
  <c r="H12" i="1" s="1"/>
  <c r="E21" i="1"/>
  <c r="K19" i="1"/>
  <c r="M19" i="1"/>
  <c r="J19" i="1"/>
  <c r="L19" i="1"/>
  <c r="J12" i="4"/>
  <c r="J17" i="4" s="1"/>
  <c r="G20" i="1"/>
  <c r="J26" i="4"/>
  <c r="G21" i="1"/>
  <c r="H28" i="1"/>
  <c r="J13" i="1"/>
  <c r="J28" i="1"/>
  <c r="J37" i="1"/>
  <c r="H23" i="1"/>
  <c r="J41" i="4"/>
  <c r="H39" i="1"/>
  <c r="J12" i="1"/>
  <c r="J32" i="4"/>
  <c r="K32" i="4" s="1"/>
  <c r="L32" i="4" s="1"/>
  <c r="J20" i="1"/>
  <c r="H30" i="1"/>
  <c r="J17" i="1"/>
  <c r="J13" i="4"/>
  <c r="J18" i="4" s="1"/>
  <c r="J41" i="1"/>
  <c r="J14" i="1"/>
  <c r="L37" i="1"/>
  <c r="M37" i="1"/>
  <c r="K41" i="1"/>
  <c r="E19" i="1" l="1"/>
  <c r="G19" i="1"/>
  <c r="F21" i="1"/>
  <c r="E36" i="1"/>
  <c r="K13" i="4"/>
  <c r="K18" i="4" s="1"/>
  <c r="K26" i="4"/>
  <c r="L22" i="1" s="1"/>
  <c r="K22" i="1"/>
  <c r="K32" i="1"/>
  <c r="F19" i="1"/>
  <c r="H42" i="1"/>
  <c r="K16" i="4"/>
  <c r="L12" i="1" s="1"/>
  <c r="J16" i="4"/>
  <c r="K12" i="1" s="1"/>
  <c r="J32" i="1"/>
  <c r="I42" i="1"/>
  <c r="J35" i="1"/>
  <c r="K13" i="1"/>
  <c r="K12" i="4"/>
  <c r="K17" i="4" s="1"/>
  <c r="J36" i="1"/>
  <c r="K41" i="4"/>
  <c r="J29" i="1"/>
  <c r="J16" i="1"/>
  <c r="H40" i="1"/>
  <c r="L35" i="1"/>
  <c r="K35" i="1"/>
  <c r="J22" i="4"/>
  <c r="L14" i="1"/>
  <c r="K37" i="1"/>
  <c r="M41" i="1"/>
  <c r="L41" i="1"/>
  <c r="K14" i="1"/>
  <c r="J37" i="4"/>
  <c r="H33" i="1"/>
  <c r="H38" i="1"/>
  <c r="H21" i="1"/>
  <c r="K16" i="1"/>
  <c r="K20" i="4"/>
  <c r="J31" i="1"/>
  <c r="H20" i="1"/>
  <c r="L26" i="4" l="1"/>
  <c r="M22" i="1" s="1"/>
  <c r="L13" i="4"/>
  <c r="L18" i="4" s="1"/>
  <c r="J42" i="1"/>
  <c r="M35" i="1"/>
  <c r="L13" i="1"/>
  <c r="L12" i="4"/>
  <c r="K36" i="1"/>
  <c r="L32" i="1"/>
  <c r="L41" i="4"/>
  <c r="K28" i="1"/>
  <c r="K20" i="1"/>
  <c r="K22" i="4"/>
  <c r="K17" i="1"/>
  <c r="L16" i="1"/>
  <c r="J27" i="1"/>
  <c r="J14" i="4"/>
  <c r="J19" i="4" s="1"/>
  <c r="K15" i="1" s="1"/>
  <c r="K39" i="4"/>
  <c r="K31" i="1"/>
  <c r="K37" i="4"/>
  <c r="K29" i="1"/>
  <c r="L17" i="4" l="1"/>
  <c r="M13" i="1" s="1"/>
  <c r="K39" i="1"/>
  <c r="M14" i="1"/>
  <c r="M32" i="1"/>
  <c r="K42" i="1"/>
  <c r="L20" i="4"/>
  <c r="M16" i="1" s="1"/>
  <c r="L36" i="1"/>
  <c r="M36" i="1"/>
  <c r="J40" i="1"/>
  <c r="L17" i="1"/>
  <c r="L22" i="4"/>
  <c r="M17" i="1" s="1"/>
  <c r="L29" i="1"/>
  <c r="L37" i="4"/>
  <c r="M29" i="1" s="1"/>
  <c r="J21" i="1"/>
  <c r="J25" i="4"/>
  <c r="L31" i="1"/>
  <c r="L39" i="4"/>
  <c r="M31" i="1" s="1"/>
  <c r="K14" i="4"/>
  <c r="K19" i="4" s="1"/>
  <c r="L15" i="1" s="1"/>
  <c r="J33" i="1"/>
  <c r="J30" i="1"/>
  <c r="L28" i="1"/>
  <c r="K36" i="4"/>
  <c r="K27" i="1"/>
  <c r="J38" i="1"/>
  <c r="L39" i="1" l="1"/>
  <c r="M42" i="1"/>
  <c r="L42" i="1"/>
  <c r="K38" i="1"/>
  <c r="J42" i="4"/>
  <c r="K33" i="1" s="1"/>
  <c r="K30" i="1"/>
  <c r="K25" i="4"/>
  <c r="K21" i="1"/>
  <c r="M28" i="1"/>
  <c r="L27" i="1"/>
  <c r="L36" i="4"/>
  <c r="K40" i="1"/>
  <c r="L14" i="4"/>
  <c r="M39" i="1" l="1"/>
  <c r="L25" i="4"/>
  <c r="M21" i="1" s="1"/>
  <c r="L21" i="1"/>
  <c r="L40" i="1"/>
  <c r="L19" i="4"/>
  <c r="M15" i="1" s="1"/>
  <c r="M27" i="1"/>
  <c r="L30" i="1"/>
  <c r="K42" i="4"/>
  <c r="L33" i="1" s="1"/>
  <c r="L38" i="1"/>
  <c r="M38" i="1"/>
  <c r="L42" i="4" l="1"/>
  <c r="M33" i="1" s="1"/>
  <c r="M30" i="1"/>
  <c r="M40" i="1"/>
</calcChain>
</file>

<file path=xl/sharedStrings.xml><?xml version="1.0" encoding="utf-8"?>
<sst xmlns="http://schemas.openxmlformats.org/spreadsheetml/2006/main" count="249" uniqueCount="196">
  <si>
    <t>доля объема электрической энергии, расчеты за которую осуществляются с использованием приборов учета, в общем объеме электрической энергии, потребляемой (используемой) на территории муниципального образования;</t>
  </si>
  <si>
    <t>доля объема тепловой энергии, расчеты за которую осуществляются с использованием приборов учета, в общем объеме тепловой энергии, потребляемой (используемой) на территории муниципального образования</t>
  </si>
  <si>
    <t>доля объема холодной воды, расчеты за которую осуществляются с использованием приборов учета, в общем объеме воды, потребляемой (используемой) на территории муниципального образования</t>
  </si>
  <si>
    <t>доля объема горячей воды, расчеты за которую осуществляются с использованием приборов учета, в общем объеме воды, потребляемой (используемой) на территории муниципального образования</t>
  </si>
  <si>
    <t>доля объема природного газа, расчеты за который осуществляются с использованием приборов учета, в общем объеме природного газа, потребляемого (используемого) на территории муниципального образования</t>
  </si>
  <si>
    <t>доля объема энергетических ресурсов, производимых с использованием возобновляемых источников энергии и (или) вторичных энергетических ресурсов, в общем объеме энергетических ресурсов, производимых на территории муниципального образования</t>
  </si>
  <si>
    <t>Общие целевые показатели в области энергосбережения и повышения энергетической эффективности</t>
  </si>
  <si>
    <t>1.1</t>
  </si>
  <si>
    <t>1.2</t>
  </si>
  <si>
    <t>1.3</t>
  </si>
  <si>
    <t>1.4</t>
  </si>
  <si>
    <t>1.5</t>
  </si>
  <si>
    <t>1.6</t>
  </si>
  <si>
    <t>Целевые показатели в области энергосбережения и повышения энергетической эффективности в муниципальном секторе</t>
  </si>
  <si>
    <t>удельный расход электрической энергии на снабжение органов местного самоуправления и муниципальных учреждений (в расчете на 1 кв. метр общей площади)</t>
  </si>
  <si>
    <t>удельный расход тепловой энергии на снабжение органов местного самоуправления и муниципальных учреждений (в расчете на 1 кв. метр общей площади)</t>
  </si>
  <si>
    <t>удельный расход холодной воды на снабжение органов местного самоуправления и муниципальных учреждений (в расчете на 1 человека)</t>
  </si>
  <si>
    <t>удельный расход горячей воды на снабжение органов местного самоуправления и муниципальных учреждений (в расчете на 1 человека)</t>
  </si>
  <si>
    <t>удельный расход природного газа на снабжение органов местного самоуправления и муниципальных учреждений (в расчете на 1 человека)</t>
  </si>
  <si>
    <t>отношение экономии энергетических ресурсов и воды в стоимостном выражении, достижение которой планируется в результате реализации энергосервисных договоров (контрактов), заключенных органами местного самоуправления и муниципальными учреждениями, к общему объему финансирования муниципальной программы</t>
  </si>
  <si>
    <t>количество энергосервисных договоров (контрактов), заключенных органами местного самоуправления и муниципальными учреждениями</t>
  </si>
  <si>
    <t>Целевые показатели в области энергосбережения и повышения энергетической эффективности в жилищном фонде</t>
  </si>
  <si>
    <t>удельный расход тепловой энергии в многоквартирных домах (в расчете на 1 кв. метр общей площади)</t>
  </si>
  <si>
    <t>удельный расход холодной воды в многоквартирных домах (в расчете на 1 жителя)</t>
  </si>
  <si>
    <t>удельный расход горячей воды в многоквартирных домах (в расчете на 1 жителя)</t>
  </si>
  <si>
    <t>удельный расход электрической энергии в многоквартирных домах (в расчете на 1 кв. метр общей площади)</t>
  </si>
  <si>
    <t>удельный расход природного газа в многоквартирных домах с индивидуальными системами газового отопления (в расчете на 1 кв. метр общей площади)</t>
  </si>
  <si>
    <t>удельный расход природного газа в многоквартирных домах с иными системами теплоснабжения (в расчете на 1 жителя)</t>
  </si>
  <si>
    <t>удельный суммарный расход энергетических ресурсов в многоквартирных домах</t>
  </si>
  <si>
    <t>Целевые показатели в области энергосбережения и повышения энергетической эффективности в системах коммунальной инфраструктуры</t>
  </si>
  <si>
    <t>удельный расход топлива на выработку тепловой энергии на тепловых электростанциях</t>
  </si>
  <si>
    <t>удельный расход топлива на выработку тепловой энергии на котельных</t>
  </si>
  <si>
    <t>удельный расход электрической энергии, используемой при передаче тепловой энергии в системах теплоснабжения</t>
  </si>
  <si>
    <t>доля потерь тепловой энергии при ее передаче в общем объеме переданной тепловой энергии</t>
  </si>
  <si>
    <t>доля потерь воды при ее передаче в общем объеме переданной воды</t>
  </si>
  <si>
    <t>удельный расход электрической энергии, используемой для передачи (транспортировки) воды в системах водоснабжения (на 1 куб. метр)</t>
  </si>
  <si>
    <t>удельный расход электрической энергии, используемой в системах водоотведения (на 1 куб. метр)</t>
  </si>
  <si>
    <t>удельный расход электрической энергии в системах уличного освещения (на 1 кв. метр освещаемой площади с уровнем освещенности, соответствующим установленным нормативам)</t>
  </si>
  <si>
    <t>2.1</t>
  </si>
  <si>
    <t>2.2</t>
  </si>
  <si>
    <t>2.3</t>
  </si>
  <si>
    <t>2.4</t>
  </si>
  <si>
    <t>2.5</t>
  </si>
  <si>
    <t>2.6</t>
  </si>
  <si>
    <t>2.7</t>
  </si>
  <si>
    <t>3.1</t>
  </si>
  <si>
    <t>3.2</t>
  </si>
  <si>
    <t>3.3</t>
  </si>
  <si>
    <t>3.4</t>
  </si>
  <si>
    <t>3.5</t>
  </si>
  <si>
    <t>3.6</t>
  </si>
  <si>
    <t>3.7</t>
  </si>
  <si>
    <t>4.1</t>
  </si>
  <si>
    <t>4.2</t>
  </si>
  <si>
    <t>4.3</t>
  </si>
  <si>
    <t>4.4</t>
  </si>
  <si>
    <t>4.5</t>
  </si>
  <si>
    <t>4.6</t>
  </si>
  <si>
    <t>4.7</t>
  </si>
  <si>
    <t>4.8</t>
  </si>
  <si>
    <t>%</t>
  </si>
  <si>
    <t>Расчетная формула</t>
  </si>
  <si>
    <t>шт.</t>
  </si>
  <si>
    <t>кВт*ч/м²</t>
  </si>
  <si>
    <t>Гкал/м²</t>
  </si>
  <si>
    <t>м³/чел.</t>
  </si>
  <si>
    <t>тыс. м³/чел.</t>
  </si>
  <si>
    <t>т.у.т./млн. Гкал</t>
  </si>
  <si>
    <t>т.у.т./ Гкал</t>
  </si>
  <si>
    <t>тыс. кВт*ч/ м³</t>
  </si>
  <si>
    <t>Объем потребления ЭЭ МО</t>
  </si>
  <si>
    <t>Объем потребления ТЭ МО</t>
  </si>
  <si>
    <t>Объем потребления природного газа МО</t>
  </si>
  <si>
    <t>Объем потребления ЭЭ, расчеты за которую осуществляются с использованием приборов учета</t>
  </si>
  <si>
    <t>Объем потребления ТЭ, расчеты за которую осуществляются с использованием приборов учета</t>
  </si>
  <si>
    <t>Объем потребления природного газа, расчеты за который осуществляются с использованием приборов учета</t>
  </si>
  <si>
    <t>Объем потребления горячей воды МО</t>
  </si>
  <si>
    <t>Объем потребления холодной воды МО</t>
  </si>
  <si>
    <t>Объем потребления холодной воды, расчеты за которую осуществляются с использованием приборов учета</t>
  </si>
  <si>
    <t>Объем потребления горячей воды, расчеты за которую осуществляются с использованием приборов учета</t>
  </si>
  <si>
    <t>Объем производства энергетических ресурсов с использованием возобновляемых источников энергии и/или вторичных энергетических ресурсов</t>
  </si>
  <si>
    <t>т.у.т.</t>
  </si>
  <si>
    <t>Общий объем энергетических ресурсов, производимых на территории МО</t>
  </si>
  <si>
    <t>тыс. кВтч</t>
  </si>
  <si>
    <t>тыс. Гкал</t>
  </si>
  <si>
    <t>тыс. куб.м.</t>
  </si>
  <si>
    <t>тыс. куб.м</t>
  </si>
  <si>
    <t>кВтч</t>
  </si>
  <si>
    <t>кв.м.</t>
  </si>
  <si>
    <t>Площадь размещения муниципальных бюджетных учреждений и органов местного самоуправления</t>
  </si>
  <si>
    <t>куб.м</t>
  </si>
  <si>
    <t>чел.</t>
  </si>
  <si>
    <t>Объем потребления электрической энергии в муниципальных бюджетных учреждениях и органах местного самоуправления</t>
  </si>
  <si>
    <t>Численность сотрудников муниципальных бюджетных учреждений и органов местного самоуправления</t>
  </si>
  <si>
    <t>Объем потребления холодной воды в муниципальных бюджетных учреждениях и органах местного самоуправления</t>
  </si>
  <si>
    <t>Объем потребления горячей воды в муниципальных бюджетных учреждениях и органах местного самоуправления</t>
  </si>
  <si>
    <t>Планируемая экономия энергетических ресурсов и воды в стоимостном выражении в результате реализации энергосервисных договоров (контрактов), заключенных органами местного самоуправления и муниципальными учреждениями</t>
  </si>
  <si>
    <t>тыс. руб.</t>
  </si>
  <si>
    <t>Объем бюджетных аасигнований, предусмотренный в городском бюджете на реализацию муниципальной программы в области энергосбережения и повышения энергетической эффективности в отчетном году</t>
  </si>
  <si>
    <t>Объем потребления электрической энергии в многоквартирных домах</t>
  </si>
  <si>
    <t>Площадь многоквартирных домов</t>
  </si>
  <si>
    <t>Количество жителей, проживающих в многоквартиных домах</t>
  </si>
  <si>
    <t>Объем потребления тепловой энергии в муниципальных бюджетных учреждениях и органах местного самоуправления</t>
  </si>
  <si>
    <t>Гкал</t>
  </si>
  <si>
    <t>Объем потребления тепловой энергии в многоквартирных домах</t>
  </si>
  <si>
    <t>Объем потребления природного газа  в многоквартирных домах с индивидуальными системами газового отопления</t>
  </si>
  <si>
    <t>тыс. куб. м.</t>
  </si>
  <si>
    <t>Площадь многоквартирных домов с индивидуальными системами газового отопления</t>
  </si>
  <si>
    <t>Объем потребления топлива на выработку тепловой энергии тепловыми электростанциями</t>
  </si>
  <si>
    <t>Объем выработки тепловой энергии  тепловыми электростанциями</t>
  </si>
  <si>
    <t>млн. Гкал</t>
  </si>
  <si>
    <t>Объем потребления топлива на выработку тепловой энергии котельными</t>
  </si>
  <si>
    <t>Объем выработки тепловой энергии  котельными</t>
  </si>
  <si>
    <t>Объем потребления электрической энергии для передачи тепловой энергии в системах теплоснабжения</t>
  </si>
  <si>
    <t>Объем потерь тепловой энергии при ее передаче</t>
  </si>
  <si>
    <t>Общий объем передаваемой тепловой энергии</t>
  </si>
  <si>
    <t>Объем потерь воды при ее передаче</t>
  </si>
  <si>
    <t>Объем потребления электрической энергии для передачи воды в системах водоснабжения</t>
  </si>
  <si>
    <t>Объем потребления электрической энергии в системах водоотведения</t>
  </si>
  <si>
    <t>Общий объем водоотведенной воды</t>
  </si>
  <si>
    <t>Объем потребления электрической энергии в системах уличного освещения</t>
  </si>
  <si>
    <t>Общая площадь уличного освещения территории МО</t>
  </si>
  <si>
    <t>кв. м.</t>
  </si>
  <si>
    <t>Целевые показатели в области энергосбережения и повышения энергетической эффективности в транспортном комплексе</t>
  </si>
  <si>
    <t>количество транспортных средств, используемых органами местного самоуправления, муниципальными учреждениями, муниципальными унитарными предприятиями, в отношении которых проведены мероприятия по энергосбережению и повышению энергетической эффективности, в том числе по замещению бензина и дизельного топлива, используемых транспортными средствами в качестве моторного топлива, природным газом, газовыми смесями и сжиженным углеводородным газом, используемыми в качестве моторного топлива</t>
  </si>
  <si>
    <t>количество транспортных средств с автономным источником электрического питания, используемых органами местного самоуправления, муниципальными учреждениями и муниципальными унитарными предприятиями</t>
  </si>
  <si>
    <t>5.1</t>
  </si>
  <si>
    <t>5.2</t>
  </si>
  <si>
    <t>Объем потребления природного газа  в многоквартирных домах с иными системами  теплоснабжения</t>
  </si>
  <si>
    <t>Количество жителей проживающих в многоквартирных домах с иными системами теплоснабжения</t>
  </si>
  <si>
    <t>2012 (факт)</t>
  </si>
  <si>
    <t>2013(факт)</t>
  </si>
  <si>
    <t>2014(факт)</t>
  </si>
  <si>
    <t>2018(план)</t>
  </si>
  <si>
    <t>2019(план)</t>
  </si>
  <si>
    <t>2020(план)</t>
  </si>
  <si>
    <t>Показатель</t>
  </si>
  <si>
    <t>Ед. изм.</t>
  </si>
  <si>
    <t>№</t>
  </si>
  <si>
    <t>Объем потребления природного газа в муниципальных бюджетных учреждениях и органах местного самоуправления</t>
  </si>
  <si>
    <t xml:space="preserve">Объем потребления энергетических ресурсов в многоквартирных домах </t>
  </si>
  <si>
    <t>(ОП мо.ээ.учет/ОП мо.ээ.общий)*100</t>
  </si>
  <si>
    <t>(ОП мо.тэ.учет/ОП мо.тэ.общий)*100</t>
  </si>
  <si>
    <t>(ОП мо.хвс.учет/ОП мо.хвс.общий)*100</t>
  </si>
  <si>
    <t>(ОП мо.гвс.учет/ОП мо.гвс.общий)*100</t>
  </si>
  <si>
    <t>(ОП мо.газ.учет/ОП мо.газ.общий)*100</t>
  </si>
  <si>
    <t>(ОП мо.эр.воз/ОП мо.эр.общий)*100</t>
  </si>
  <si>
    <t>ОП ээ.мо/П мо</t>
  </si>
  <si>
    <t>ОП тэ.мо/П мо</t>
  </si>
  <si>
    <t>ОП хвс.мо/К мо</t>
  </si>
  <si>
    <t>ОП гвс.мо/К мо</t>
  </si>
  <si>
    <t>ОП газ.мо/К мо</t>
  </si>
  <si>
    <t>(ПЛАН эконом.мо/МП ба)*100</t>
  </si>
  <si>
    <t>-</t>
  </si>
  <si>
    <t>ОП мо.тэ.мкд/П мо.мкд</t>
  </si>
  <si>
    <t>ОП мо.ээ.мкд/П мо.мкд</t>
  </si>
  <si>
    <t>ОП мо.хвс.мкд/К мо.мкд</t>
  </si>
  <si>
    <t>ОП мо.гвс.мкд/К мо.мкд</t>
  </si>
  <si>
    <t>ОП мо.газ.учет.мкд/ П мо.газ.учет.мкд</t>
  </si>
  <si>
    <t>ОП мо.газ.мкд/ К мо.газ.мкд</t>
  </si>
  <si>
    <t>ОП мо.сумм.мкд/П мо.мкд</t>
  </si>
  <si>
    <t>ОП мо.тэс.тэ/ОВ мо.тыс.тэ</t>
  </si>
  <si>
    <t>ОП мо.к.тэ/ОВ мо.к.тэ</t>
  </si>
  <si>
    <t>ОП мо.ээ.передача тэ/ОТ мо.тн</t>
  </si>
  <si>
    <t>(О мо.тэ.потери/ОП мо.тэ.общий)*100</t>
  </si>
  <si>
    <t>(ОП мо.вс.передача/(ОП мо.гвс.общий+ОП мо.хвс.общий+Опмо.вс.передача))*100</t>
  </si>
  <si>
    <t>ОП мо.ээ.водоотведение/О мо.вс.отведение</t>
  </si>
  <si>
    <t>ОП мо.ээ.освещение/П мо.освещение</t>
  </si>
  <si>
    <t>Объем транспортировки теплоносителя в системе теплоснабжени</t>
  </si>
  <si>
    <t>ОП мо.ээ.передача вс/(ОП мо.гвс.общий+ОП мо.хвс.общий+ОП мо.вс.передача)</t>
  </si>
  <si>
    <t>Наименование целевого показателя</t>
  </si>
  <si>
    <t>тыс. м³/м².</t>
  </si>
  <si>
    <t>т.у.т./м²</t>
  </si>
  <si>
    <t>кВт*ч/м³</t>
  </si>
  <si>
    <t>тыс. кВт*ч/ тыс. м³</t>
  </si>
  <si>
    <t xml:space="preserve">    к муниципальной программе "Развитие топливно-энергетического комплекса,   </t>
  </si>
  <si>
    <t xml:space="preserve">    жилищно-коммунального и дорожного хозяйства городского округа "город Клинцы</t>
  </si>
  <si>
    <t>Целевые значения показателей (индикаторов)</t>
  </si>
  <si>
    <t xml:space="preserve">Единицы                                 измерения </t>
  </si>
  <si>
    <t xml:space="preserve">Приложение 1 </t>
  </si>
  <si>
    <t xml:space="preserve">к подпрограмме "Энергосбережение и повышение энергетической эффективности на </t>
  </si>
  <si>
    <t>территории городского округа "город Клинцы Брянской области"" (2016-2020 годы)</t>
  </si>
  <si>
    <t>Общие сведения (исходные данные) для расчета целевых показателей Подрограммы.</t>
  </si>
  <si>
    <t>Объем потребления горячей воды  в многоквартирных домах</t>
  </si>
  <si>
    <t>2015(факт)</t>
  </si>
  <si>
    <t>Объем потребления холодной воды в многоквартирных домах</t>
  </si>
  <si>
    <t>2016 (факт)</t>
  </si>
  <si>
    <t>2017(факт)</t>
  </si>
  <si>
    <t>Сведения о показателях (индикаторах) муниципальной программы "Развитие топливно-энергетического комплекса, жилищно-коммунального и дорожного хозяйства городского округа "город Клинцы Брянской области"" (2016-2022 годы), подпрограммы "Энергосбережение и повышение энергетической эффективности на территории городского округа "город Клинцы Брянской области"" (2016-2020 годы).</t>
  </si>
  <si>
    <t xml:space="preserve">    Брянской области"" (2016-2022 годы) </t>
  </si>
  <si>
    <t>Приложение № 2</t>
  </si>
  <si>
    <t xml:space="preserve">к постановлению  Клинцовской городской администрации </t>
  </si>
  <si>
    <t>от ______________  № _____________</t>
  </si>
  <si>
    <t>Приложение № 9</t>
  </si>
  <si>
    <t>Приложение № 3</t>
  </si>
  <si>
    <t>от ______________  № 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</si>
</sst>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"/>
    <numFmt numFmtId="166" formatCode="0.0000"/>
  </numFmts>
  <fonts count="17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8"/>
      <name val="Calibri"/>
      <family val="2"/>
      <charset val="204"/>
    </font>
    <font>
      <sz val="9"/>
      <color indexed="8"/>
      <name val="Times New Roman"/>
      <family val="1"/>
      <charset val="204"/>
    </font>
    <font>
      <sz val="9"/>
      <color indexed="8"/>
      <name val="Calibri"/>
      <family val="2"/>
      <charset val="204"/>
    </font>
    <font>
      <sz val="9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12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left" vertical="center" wrapText="1" shrinkToFit="1"/>
    </xf>
    <xf numFmtId="0" fontId="11" fillId="0" borderId="1" xfId="0" applyFont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Border="1" applyAlignment="1">
      <alignment wrapText="1"/>
    </xf>
    <xf numFmtId="1" fontId="11" fillId="0" borderId="0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0" xfId="0" applyFont="1" applyFill="1" applyAlignment="1">
      <alignment horizontal="right"/>
    </xf>
    <xf numFmtId="0" fontId="12" fillId="0" borderId="1" xfId="0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/>
    </xf>
    <xf numFmtId="164" fontId="11" fillId="0" borderId="1" xfId="0" applyNumberFormat="1" applyFont="1" applyFill="1" applyBorder="1" applyAlignment="1">
      <alignment horizontal="center"/>
    </xf>
    <xf numFmtId="1" fontId="0" fillId="0" borderId="0" xfId="0" applyNumberFormat="1"/>
    <xf numFmtId="1" fontId="11" fillId="0" borderId="7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1" fontId="9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/>
    <xf numFmtId="0" fontId="8" fillId="0" borderId="0" xfId="0" applyFont="1" applyFill="1"/>
    <xf numFmtId="0" fontId="0" fillId="0" borderId="0" xfId="0" applyBorder="1"/>
    <xf numFmtId="165" fontId="11" fillId="0" borderId="1" xfId="0" applyNumberFormat="1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0" fillId="0" borderId="0" xfId="0" applyFill="1" applyBorder="1"/>
    <xf numFmtId="2" fontId="11" fillId="0" borderId="7" xfId="0" applyNumberFormat="1" applyFont="1" applyFill="1" applyBorder="1" applyAlignment="1">
      <alignment horizontal="center"/>
    </xf>
    <xf numFmtId="166" fontId="11" fillId="0" borderId="0" xfId="0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right" vertical="center" shrinkToFit="1"/>
    </xf>
    <xf numFmtId="0" fontId="3" fillId="0" borderId="0" xfId="0" applyFont="1" applyAlignment="1">
      <alignment horizontal="center" vertical="center" shrinkToFit="1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0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4" fillId="0" borderId="0" xfId="0" applyFont="1"/>
    <xf numFmtId="0" fontId="14" fillId="0" borderId="0" xfId="0" applyFont="1" applyFill="1"/>
    <xf numFmtId="0" fontId="14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Fill="1" applyBorder="1" applyAlignment="1">
      <alignment horizontal="left"/>
    </xf>
    <xf numFmtId="0" fontId="16" fillId="0" borderId="0" xfId="0" applyFont="1"/>
    <xf numFmtId="0" fontId="16" fillId="0" borderId="0" xfId="0" applyFont="1" applyFill="1"/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tabSelected="1" topLeftCell="C1" zoomScale="130" zoomScaleNormal="130" workbookViewId="0">
      <selection activeCell="Q11" sqref="Q11"/>
    </sheetView>
  </sheetViews>
  <sheetFormatPr defaultRowHeight="15" x14ac:dyDescent="0.25"/>
  <cols>
    <col min="1" max="1" width="3" bestFit="1" customWidth="1"/>
    <col min="2" max="2" width="42.28515625" customWidth="1"/>
    <col min="6" max="9" width="9.140625" style="36"/>
    <col min="12" max="12" width="9" customWidth="1"/>
    <col min="13" max="13" width="0.7109375" hidden="1" customWidth="1"/>
  </cols>
  <sheetData>
    <row r="1" spans="1:14" x14ac:dyDescent="0.25">
      <c r="F1" s="83"/>
      <c r="G1" s="83"/>
      <c r="H1" s="83"/>
      <c r="I1" s="84"/>
      <c r="J1" s="83"/>
      <c r="K1" s="85" t="s">
        <v>194</v>
      </c>
      <c r="L1" s="85"/>
      <c r="M1" s="85"/>
    </row>
    <row r="2" spans="1:14" ht="14.25" customHeight="1" x14ac:dyDescent="0.25">
      <c r="A2" s="3"/>
      <c r="B2" s="3"/>
      <c r="C2" s="4"/>
      <c r="D2" s="5"/>
      <c r="E2" s="4"/>
      <c r="F2" s="86" t="s">
        <v>191</v>
      </c>
      <c r="G2" s="86"/>
      <c r="H2" s="86"/>
      <c r="I2" s="86"/>
      <c r="J2" s="86"/>
      <c r="K2" s="86"/>
      <c r="L2" s="86"/>
      <c r="M2" s="86"/>
    </row>
    <row r="3" spans="1:14" ht="14.25" customHeight="1" x14ac:dyDescent="0.25">
      <c r="A3" s="3"/>
      <c r="B3" s="3"/>
      <c r="C3" s="4"/>
      <c r="D3" s="5"/>
      <c r="E3" s="4"/>
      <c r="F3" s="87"/>
      <c r="G3" s="87"/>
      <c r="H3" s="87"/>
      <c r="I3" s="87"/>
      <c r="J3" s="88" t="s">
        <v>195</v>
      </c>
      <c r="K3" s="88"/>
      <c r="L3" s="88"/>
      <c r="M3" s="88"/>
    </row>
    <row r="4" spans="1:14" ht="16.5" customHeight="1" x14ac:dyDescent="0.25">
      <c r="A4" s="57"/>
      <c r="B4" s="57"/>
      <c r="C4" s="57"/>
      <c r="E4" s="86" t="s">
        <v>179</v>
      </c>
      <c r="F4" s="86"/>
      <c r="G4" s="86"/>
      <c r="H4" s="86"/>
      <c r="I4" s="86"/>
      <c r="J4" s="86"/>
      <c r="K4" s="86"/>
      <c r="L4" s="86"/>
    </row>
    <row r="5" spans="1:14" ht="15.75" x14ac:dyDescent="0.25">
      <c r="A5" s="58"/>
      <c r="B5" s="58"/>
      <c r="C5" s="58"/>
      <c r="E5" s="86" t="s">
        <v>180</v>
      </c>
      <c r="F5" s="86"/>
      <c r="G5" s="86"/>
      <c r="H5" s="86"/>
      <c r="I5" s="86"/>
      <c r="J5" s="86"/>
      <c r="K5" s="86"/>
      <c r="L5" s="86"/>
    </row>
    <row r="6" spans="1:14" ht="15.75" x14ac:dyDescent="0.25">
      <c r="A6" s="1"/>
      <c r="B6" s="1"/>
      <c r="C6" s="1"/>
      <c r="E6" s="86" t="s">
        <v>181</v>
      </c>
      <c r="F6" s="86"/>
      <c r="G6" s="86"/>
      <c r="H6" s="86"/>
      <c r="I6" s="86"/>
      <c r="J6" s="86"/>
      <c r="K6" s="86"/>
      <c r="L6" s="86"/>
    </row>
    <row r="7" spans="1:14" ht="10.5" customHeight="1" x14ac:dyDescent="0.25">
      <c r="A7" s="1"/>
      <c r="B7" s="1"/>
      <c r="C7" s="1"/>
      <c r="E7" s="2"/>
      <c r="F7" s="37"/>
      <c r="G7" s="37"/>
      <c r="H7" s="37"/>
      <c r="I7" s="37"/>
      <c r="J7" s="2"/>
      <c r="K7" s="2"/>
      <c r="L7" s="2"/>
    </row>
    <row r="8" spans="1:14" ht="15.75" x14ac:dyDescent="0.25">
      <c r="A8" s="56" t="s">
        <v>182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</row>
    <row r="9" spans="1:14" ht="7.5" customHeight="1" x14ac:dyDescent="0.25"/>
    <row r="10" spans="1:14" x14ac:dyDescent="0.25">
      <c r="A10" s="23" t="s">
        <v>138</v>
      </c>
      <c r="B10" s="24" t="s">
        <v>136</v>
      </c>
      <c r="C10" s="25" t="s">
        <v>137</v>
      </c>
      <c r="D10" s="25" t="s">
        <v>130</v>
      </c>
      <c r="E10" s="25" t="s">
        <v>131</v>
      </c>
      <c r="F10" s="38" t="s">
        <v>132</v>
      </c>
      <c r="G10" s="38" t="s">
        <v>184</v>
      </c>
      <c r="H10" s="38" t="s">
        <v>186</v>
      </c>
      <c r="I10" s="38" t="s">
        <v>187</v>
      </c>
      <c r="J10" s="38" t="s">
        <v>133</v>
      </c>
      <c r="K10" s="25" t="s">
        <v>134</v>
      </c>
      <c r="L10" s="25" t="s">
        <v>135</v>
      </c>
    </row>
    <row r="11" spans="1:14" x14ac:dyDescent="0.25">
      <c r="A11" s="26">
        <v>1</v>
      </c>
      <c r="B11" s="27" t="s">
        <v>70</v>
      </c>
      <c r="C11" s="28" t="s">
        <v>83</v>
      </c>
      <c r="D11" s="29">
        <v>106605</v>
      </c>
      <c r="E11" s="29">
        <v>107960</v>
      </c>
      <c r="F11" s="33">
        <v>105327</v>
      </c>
      <c r="G11" s="39">
        <v>108195</v>
      </c>
      <c r="H11" s="39">
        <v>107739.9</v>
      </c>
      <c r="I11" s="39">
        <v>104747.5</v>
      </c>
      <c r="J11" s="39">
        <f>I11*0.99</f>
        <v>103700.02499999999</v>
      </c>
      <c r="K11" s="30">
        <f>J11*0.99</f>
        <v>102663.02475</v>
      </c>
      <c r="L11" s="30">
        <f>K11*0.99</f>
        <v>101636.3945025</v>
      </c>
      <c r="M11" s="42"/>
      <c r="N11" s="50"/>
    </row>
    <row r="12" spans="1:14" x14ac:dyDescent="0.25">
      <c r="A12" s="26">
        <v>2</v>
      </c>
      <c r="B12" s="27" t="s">
        <v>71</v>
      </c>
      <c r="C12" s="28" t="s">
        <v>84</v>
      </c>
      <c r="D12" s="29">
        <v>287</v>
      </c>
      <c r="E12" s="29">
        <v>265</v>
      </c>
      <c r="F12" s="33">
        <v>276</v>
      </c>
      <c r="G12" s="39">
        <v>272</v>
      </c>
      <c r="H12" s="39">
        <v>268.2</v>
      </c>
      <c r="I12" s="39">
        <v>251.87</v>
      </c>
      <c r="J12" s="39">
        <f t="shared" ref="J12:L13" si="0">I12*0.99</f>
        <v>249.35130000000001</v>
      </c>
      <c r="K12" s="39">
        <f t="shared" si="0"/>
        <v>246.857787</v>
      </c>
      <c r="L12" s="39">
        <f t="shared" si="0"/>
        <v>244.38920913000001</v>
      </c>
      <c r="M12" s="42"/>
      <c r="N12" s="53"/>
    </row>
    <row r="13" spans="1:14" x14ac:dyDescent="0.25">
      <c r="A13" s="26">
        <v>3</v>
      </c>
      <c r="B13" s="27" t="s">
        <v>77</v>
      </c>
      <c r="C13" s="28" t="s">
        <v>85</v>
      </c>
      <c r="D13" s="29">
        <v>3746</v>
      </c>
      <c r="E13" s="29">
        <v>3380</v>
      </c>
      <c r="F13" s="33">
        <v>3258</v>
      </c>
      <c r="G13" s="39">
        <v>3126</v>
      </c>
      <c r="H13" s="39">
        <v>2990.4</v>
      </c>
      <c r="I13" s="39">
        <v>3246.69</v>
      </c>
      <c r="J13" s="39">
        <f t="shared" si="0"/>
        <v>3214.2231000000002</v>
      </c>
      <c r="K13" s="39">
        <f t="shared" si="0"/>
        <v>3182.0808690000003</v>
      </c>
      <c r="L13" s="39">
        <f t="shared" si="0"/>
        <v>3150.2600603100004</v>
      </c>
      <c r="M13" s="36"/>
    </row>
    <row r="14" spans="1:14" x14ac:dyDescent="0.25">
      <c r="A14" s="26">
        <v>4</v>
      </c>
      <c r="B14" s="27" t="s">
        <v>76</v>
      </c>
      <c r="C14" s="28" t="s">
        <v>86</v>
      </c>
      <c r="D14" s="29">
        <v>523</v>
      </c>
      <c r="E14" s="29">
        <v>496</v>
      </c>
      <c r="F14" s="33">
        <v>451</v>
      </c>
      <c r="G14" s="39">
        <v>302</v>
      </c>
      <c r="H14" s="39">
        <v>302.72000000000003</v>
      </c>
      <c r="I14" s="39">
        <v>287.3</v>
      </c>
      <c r="J14" s="39">
        <f t="shared" ref="J14:L14" si="1">I14*0.99</f>
        <v>284.42700000000002</v>
      </c>
      <c r="K14" s="39">
        <f>J14*0.99</f>
        <v>281.58273000000003</v>
      </c>
      <c r="L14" s="39">
        <f t="shared" si="1"/>
        <v>278.7669027</v>
      </c>
      <c r="M14" s="36"/>
    </row>
    <row r="15" spans="1:14" x14ac:dyDescent="0.25">
      <c r="A15" s="26">
        <v>5</v>
      </c>
      <c r="B15" s="27" t="s">
        <v>72</v>
      </c>
      <c r="C15" s="28" t="s">
        <v>86</v>
      </c>
      <c r="D15" s="29">
        <v>106453</v>
      </c>
      <c r="E15" s="29">
        <v>102192</v>
      </c>
      <c r="F15" s="33">
        <v>103678</v>
      </c>
      <c r="G15" s="39">
        <v>102288</v>
      </c>
      <c r="H15" s="39">
        <v>72411.8</v>
      </c>
      <c r="I15" s="39">
        <v>89295.07</v>
      </c>
      <c r="J15" s="39">
        <f>I15*0.99</f>
        <v>88402.119300000006</v>
      </c>
      <c r="K15" s="39">
        <f>J15*0.99</f>
        <v>87518.098106999998</v>
      </c>
      <c r="L15" s="39">
        <f>K15*0.99</f>
        <v>86642.917125929991</v>
      </c>
      <c r="M15" s="36"/>
    </row>
    <row r="16" spans="1:14" ht="22.5" x14ac:dyDescent="0.25">
      <c r="A16" s="26">
        <v>6</v>
      </c>
      <c r="B16" s="27" t="s">
        <v>73</v>
      </c>
      <c r="C16" s="28" t="s">
        <v>83</v>
      </c>
      <c r="D16" s="29">
        <v>106605</v>
      </c>
      <c r="E16" s="29">
        <v>107960</v>
      </c>
      <c r="F16" s="33">
        <v>105327</v>
      </c>
      <c r="G16" s="39">
        <f t="shared" ref="G16:L16" si="2">G11</f>
        <v>108195</v>
      </c>
      <c r="H16" s="39">
        <f>H11</f>
        <v>107739.9</v>
      </c>
      <c r="I16" s="39">
        <v>104747.5</v>
      </c>
      <c r="J16" s="39">
        <f t="shared" si="2"/>
        <v>103700.02499999999</v>
      </c>
      <c r="K16" s="39">
        <f t="shared" si="2"/>
        <v>102663.02475</v>
      </c>
      <c r="L16" s="39">
        <f t="shared" si="2"/>
        <v>101636.3945025</v>
      </c>
      <c r="M16" s="36"/>
    </row>
    <row r="17" spans="1:14" ht="22.5" x14ac:dyDescent="0.25">
      <c r="A17" s="26">
        <v>7</v>
      </c>
      <c r="B17" s="27" t="s">
        <v>74</v>
      </c>
      <c r="C17" s="28" t="s">
        <v>84</v>
      </c>
      <c r="D17" s="29">
        <v>187</v>
      </c>
      <c r="E17" s="29">
        <v>145</v>
      </c>
      <c r="F17" s="33">
        <v>196</v>
      </c>
      <c r="G17" s="39">
        <v>184</v>
      </c>
      <c r="H17" s="39">
        <v>152.9</v>
      </c>
      <c r="I17" s="39">
        <v>145.66</v>
      </c>
      <c r="J17" s="39">
        <f>J12*0.59</f>
        <v>147.117267</v>
      </c>
      <c r="K17" s="39">
        <f>K12*0.61</f>
        <v>150.58325006999999</v>
      </c>
      <c r="L17" s="39">
        <f>L12*0.62</f>
        <v>151.5213096606</v>
      </c>
      <c r="M17" s="54"/>
      <c r="N17" s="36"/>
    </row>
    <row r="18" spans="1:14" ht="33.75" x14ac:dyDescent="0.25">
      <c r="A18" s="26">
        <v>8</v>
      </c>
      <c r="B18" s="31" t="s">
        <v>78</v>
      </c>
      <c r="C18" s="28" t="s">
        <v>85</v>
      </c>
      <c r="D18" s="29">
        <v>1791</v>
      </c>
      <c r="E18" s="29">
        <v>1467</v>
      </c>
      <c r="F18" s="33">
        <v>1667</v>
      </c>
      <c r="G18" s="39">
        <v>1809</v>
      </c>
      <c r="H18" s="39">
        <v>1825.8</v>
      </c>
      <c r="I18" s="39">
        <v>1873.4</v>
      </c>
      <c r="J18" s="39">
        <f>J13*0.59</f>
        <v>1896.391629</v>
      </c>
      <c r="K18" s="39">
        <f>K13*0.6</f>
        <v>1909.2485214000001</v>
      </c>
      <c r="L18" s="39">
        <f>L13*0.61</f>
        <v>1921.6586367891002</v>
      </c>
      <c r="M18" s="36"/>
    </row>
    <row r="19" spans="1:14" ht="33.75" x14ac:dyDescent="0.25">
      <c r="A19" s="26">
        <v>9</v>
      </c>
      <c r="B19" s="31" t="s">
        <v>79</v>
      </c>
      <c r="C19" s="28" t="s">
        <v>86</v>
      </c>
      <c r="D19" s="29">
        <v>66</v>
      </c>
      <c r="E19" s="29">
        <v>243</v>
      </c>
      <c r="F19" s="33">
        <v>318</v>
      </c>
      <c r="G19" s="39">
        <v>227</v>
      </c>
      <c r="H19" s="39">
        <v>235.14</v>
      </c>
      <c r="I19" s="39">
        <v>244.9</v>
      </c>
      <c r="J19" s="39">
        <f>J14*0.83</f>
        <v>236.07441</v>
      </c>
      <c r="K19" s="39">
        <f>K14*0.82</f>
        <v>230.8978386</v>
      </c>
      <c r="L19" s="39">
        <f>L14*0.8</f>
        <v>223.01352216000001</v>
      </c>
      <c r="M19" s="36"/>
    </row>
    <row r="20" spans="1:14" ht="33.75" x14ac:dyDescent="0.25">
      <c r="A20" s="26">
        <v>10</v>
      </c>
      <c r="B20" s="27" t="s">
        <v>75</v>
      </c>
      <c r="C20" s="28" t="s">
        <v>86</v>
      </c>
      <c r="D20" s="29">
        <v>84664</v>
      </c>
      <c r="E20" s="29">
        <v>81805</v>
      </c>
      <c r="F20" s="33">
        <v>85959</v>
      </c>
      <c r="G20" s="39">
        <v>78106</v>
      </c>
      <c r="H20" s="39">
        <v>60398.1</v>
      </c>
      <c r="I20" s="39">
        <v>78457.539999999994</v>
      </c>
      <c r="J20" s="39">
        <v>78416</v>
      </c>
      <c r="K20" s="39">
        <f>K15*0.89</f>
        <v>77891.107315229994</v>
      </c>
      <c r="L20" s="39">
        <f>L15*0.9</f>
        <v>77978.625413336995</v>
      </c>
      <c r="M20" s="36"/>
    </row>
    <row r="21" spans="1:14" ht="33.75" x14ac:dyDescent="0.25">
      <c r="A21" s="26">
        <v>11</v>
      </c>
      <c r="B21" s="31" t="s">
        <v>80</v>
      </c>
      <c r="C21" s="32" t="s">
        <v>81</v>
      </c>
      <c r="D21" s="29">
        <v>0</v>
      </c>
      <c r="E21" s="29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6"/>
    </row>
    <row r="22" spans="1:14" ht="22.5" x14ac:dyDescent="0.25">
      <c r="A22" s="26">
        <v>12</v>
      </c>
      <c r="B22" s="31" t="s">
        <v>82</v>
      </c>
      <c r="C22" s="32" t="s">
        <v>81</v>
      </c>
      <c r="D22" s="29">
        <v>47495</v>
      </c>
      <c r="E22" s="29">
        <v>45764</v>
      </c>
      <c r="F22" s="33">
        <v>45337</v>
      </c>
      <c r="G22" s="39">
        <v>43132</v>
      </c>
      <c r="H22" s="39">
        <v>40846</v>
      </c>
      <c r="I22" s="39">
        <v>39878.230000000003</v>
      </c>
      <c r="J22" s="39">
        <f t="shared" ref="J22:L22" si="3">I22*0.991</f>
        <v>39519.325930000006</v>
      </c>
      <c r="K22" s="39">
        <f t="shared" si="3"/>
        <v>39163.651996630004</v>
      </c>
      <c r="L22" s="39">
        <f t="shared" si="3"/>
        <v>38811.179128660333</v>
      </c>
      <c r="M22" s="42"/>
      <c r="N22" s="36"/>
    </row>
    <row r="23" spans="1:14" ht="33.75" x14ac:dyDescent="0.25">
      <c r="A23" s="26">
        <v>13</v>
      </c>
      <c r="B23" s="27" t="s">
        <v>92</v>
      </c>
      <c r="C23" s="28" t="s">
        <v>87</v>
      </c>
      <c r="D23" s="29">
        <f>1609423+152072</f>
        <v>1761495</v>
      </c>
      <c r="E23" s="29">
        <f>1608317+158570</f>
        <v>1766887</v>
      </c>
      <c r="F23" s="33">
        <f>1838303+165478</f>
        <v>2003781</v>
      </c>
      <c r="G23" s="39">
        <v>2835081</v>
      </c>
      <c r="H23" s="39">
        <f>2264765+153683</f>
        <v>2418448</v>
      </c>
      <c r="I23" s="39">
        <v>2347724</v>
      </c>
      <c r="J23" s="39">
        <f>I23*0.9957</f>
        <v>2337628.7867999999</v>
      </c>
      <c r="K23" s="39">
        <f t="shared" ref="K23:L23" si="4">J23*0.9957</f>
        <v>2327576.9830167601</v>
      </c>
      <c r="L23" s="39">
        <f t="shared" si="4"/>
        <v>2317568.4019897883</v>
      </c>
    </row>
    <row r="24" spans="1:14" ht="33.75" x14ac:dyDescent="0.25">
      <c r="A24" s="26">
        <v>14</v>
      </c>
      <c r="B24" s="27" t="s">
        <v>102</v>
      </c>
      <c r="C24" s="28" t="s">
        <v>103</v>
      </c>
      <c r="D24" s="29">
        <f>14882+3536+1111</f>
        <v>19529</v>
      </c>
      <c r="E24" s="29">
        <f>13897+1508+903</f>
        <v>16308</v>
      </c>
      <c r="F24" s="33">
        <f>16144+1255+910</f>
        <v>18309</v>
      </c>
      <c r="G24" s="39">
        <v>15534</v>
      </c>
      <c r="H24" s="39">
        <f>14500.319+532.077</f>
        <v>15032.395999999999</v>
      </c>
      <c r="I24" s="39">
        <v>17854.63</v>
      </c>
      <c r="J24" s="39">
        <f>I24*0.99</f>
        <v>17676.083699999999</v>
      </c>
      <c r="K24" s="39">
        <f t="shared" ref="K24:L24" si="5">J24*0.99</f>
        <v>17499.322862999998</v>
      </c>
      <c r="L24" s="39">
        <f t="shared" si="5"/>
        <v>17324.329634369999</v>
      </c>
    </row>
    <row r="25" spans="1:14" ht="33.75" x14ac:dyDescent="0.25">
      <c r="A25" s="26">
        <v>15</v>
      </c>
      <c r="B25" s="27" t="s">
        <v>94</v>
      </c>
      <c r="C25" s="28" t="s">
        <v>90</v>
      </c>
      <c r="D25" s="29">
        <f>87015+1900+5515</f>
        <v>94430</v>
      </c>
      <c r="E25" s="29">
        <f>95695+305+4219</f>
        <v>100219</v>
      </c>
      <c r="F25" s="33">
        <f>66597+2685</f>
        <v>69282</v>
      </c>
      <c r="G25" s="39">
        <v>68443</v>
      </c>
      <c r="H25" s="39">
        <f>62494.485+2196</f>
        <v>64690.485000000001</v>
      </c>
      <c r="I25" s="39">
        <v>64276</v>
      </c>
      <c r="J25" s="39">
        <f t="shared" ref="J25:L25" si="6">I25*0.99</f>
        <v>63633.24</v>
      </c>
      <c r="K25" s="39">
        <f>J25*0.99</f>
        <v>62996.907599999999</v>
      </c>
      <c r="L25" s="39">
        <f t="shared" si="6"/>
        <v>62366.938523999997</v>
      </c>
    </row>
    <row r="26" spans="1:14" ht="33.75" x14ac:dyDescent="0.25">
      <c r="A26" s="26">
        <v>16</v>
      </c>
      <c r="B26" s="27" t="s">
        <v>95</v>
      </c>
      <c r="C26" s="28" t="s">
        <v>90</v>
      </c>
      <c r="D26" s="29">
        <v>1033</v>
      </c>
      <c r="E26" s="29">
        <v>813</v>
      </c>
      <c r="F26" s="33">
        <v>889</v>
      </c>
      <c r="G26" s="39">
        <v>995</v>
      </c>
      <c r="H26" s="39">
        <v>2154.9859999999999</v>
      </c>
      <c r="I26" s="39">
        <v>2068.83</v>
      </c>
      <c r="J26" s="39">
        <f t="shared" ref="J26:L26" si="7">I26*0.998</f>
        <v>2064.6923400000001</v>
      </c>
      <c r="K26" s="39">
        <f t="shared" si="7"/>
        <v>2060.5629553200001</v>
      </c>
      <c r="L26" s="39">
        <f t="shared" si="7"/>
        <v>2056.4418294093603</v>
      </c>
    </row>
    <row r="27" spans="1:14" ht="33.75" x14ac:dyDescent="0.25">
      <c r="A27" s="26">
        <v>17</v>
      </c>
      <c r="B27" s="27" t="s">
        <v>139</v>
      </c>
      <c r="C27" s="28" t="s">
        <v>90</v>
      </c>
      <c r="D27" s="29">
        <f>(128.7+9)*1000</f>
        <v>137700</v>
      </c>
      <c r="E27" s="29">
        <f>(172+9)*1000</f>
        <v>181000</v>
      </c>
      <c r="F27" s="33">
        <f>(117+9)*1000</f>
        <v>126000</v>
      </c>
      <c r="G27" s="39">
        <v>103500</v>
      </c>
      <c r="H27" s="39">
        <f>(72.224+5.173)*1000</f>
        <v>77397</v>
      </c>
      <c r="I27" s="39">
        <v>76018</v>
      </c>
      <c r="J27" s="39">
        <f>I27*0.99</f>
        <v>75257.819999999992</v>
      </c>
      <c r="K27" s="39">
        <f t="shared" ref="K27:L27" si="8">J27*0.99</f>
        <v>74505.241799999989</v>
      </c>
      <c r="L27" s="39">
        <f t="shared" si="8"/>
        <v>73760.189381999982</v>
      </c>
    </row>
    <row r="28" spans="1:14" ht="22.5" x14ac:dyDescent="0.25">
      <c r="A28" s="26">
        <v>18</v>
      </c>
      <c r="B28" s="27" t="s">
        <v>89</v>
      </c>
      <c r="C28" s="28" t="s">
        <v>88</v>
      </c>
      <c r="D28" s="29">
        <f>88666+6424</f>
        <v>95090</v>
      </c>
      <c r="E28" s="29">
        <f>89095+6424</f>
        <v>95519</v>
      </c>
      <c r="F28" s="33">
        <f>93457+6424</f>
        <v>99881</v>
      </c>
      <c r="G28" s="33">
        <v>99803.199999999997</v>
      </c>
      <c r="H28" s="33">
        <f>95753.85+5679.8</f>
        <v>101433.65000000001</v>
      </c>
      <c r="I28" s="33">
        <v>101546.65</v>
      </c>
      <c r="J28" s="33">
        <v>101546.65</v>
      </c>
      <c r="K28" s="33">
        <v>101546.65</v>
      </c>
      <c r="L28" s="33">
        <v>101546.65</v>
      </c>
      <c r="M28" s="52"/>
    </row>
    <row r="29" spans="1:14" ht="22.5" x14ac:dyDescent="0.25">
      <c r="A29" s="26">
        <v>19</v>
      </c>
      <c r="B29" s="27" t="s">
        <v>93</v>
      </c>
      <c r="C29" s="28" t="s">
        <v>91</v>
      </c>
      <c r="D29" s="29">
        <f>1900+137</f>
        <v>2037</v>
      </c>
      <c r="E29" s="29">
        <f>1734+141</f>
        <v>1875</v>
      </c>
      <c r="F29" s="33">
        <f>1600+142</f>
        <v>1742</v>
      </c>
      <c r="G29" s="33">
        <v>1791</v>
      </c>
      <c r="H29" s="33">
        <f>1593+141</f>
        <v>1734</v>
      </c>
      <c r="I29" s="33">
        <v>1659</v>
      </c>
      <c r="J29" s="33">
        <f t="shared" ref="J29:L29" si="9">I29</f>
        <v>1659</v>
      </c>
      <c r="K29" s="33">
        <f t="shared" si="9"/>
        <v>1659</v>
      </c>
      <c r="L29" s="33">
        <f t="shared" si="9"/>
        <v>1659</v>
      </c>
      <c r="M29" s="52"/>
      <c r="N29" s="50"/>
    </row>
    <row r="30" spans="1:14" ht="56.25" x14ac:dyDescent="0.25">
      <c r="A30" s="26">
        <v>20</v>
      </c>
      <c r="B30" s="27" t="s">
        <v>96</v>
      </c>
      <c r="C30" s="28" t="s">
        <v>97</v>
      </c>
      <c r="D30" s="29">
        <v>42505</v>
      </c>
      <c r="E30" s="29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</row>
    <row r="31" spans="1:14" ht="45" x14ac:dyDescent="0.25">
      <c r="A31" s="26">
        <v>21</v>
      </c>
      <c r="B31" s="27" t="s">
        <v>98</v>
      </c>
      <c r="C31" s="28" t="s">
        <v>97</v>
      </c>
      <c r="D31" s="29">
        <v>2499</v>
      </c>
      <c r="E31" s="29">
        <v>9411.7999999999993</v>
      </c>
      <c r="F31" s="33">
        <v>11612.8</v>
      </c>
      <c r="G31" s="33">
        <v>8871.3060999999998</v>
      </c>
      <c r="H31" s="51">
        <v>9603.7436799999996</v>
      </c>
      <c r="I31" s="51">
        <v>7852.7115999999996</v>
      </c>
      <c r="J31" s="51">
        <v>604.36767999999995</v>
      </c>
      <c r="K31" s="33">
        <v>1000</v>
      </c>
      <c r="L31" s="33">
        <v>1000</v>
      </c>
    </row>
    <row r="32" spans="1:14" ht="22.5" x14ac:dyDescent="0.25">
      <c r="A32" s="26">
        <v>22</v>
      </c>
      <c r="B32" s="27" t="s">
        <v>104</v>
      </c>
      <c r="C32" s="28" t="s">
        <v>103</v>
      </c>
      <c r="D32" s="29">
        <v>118520</v>
      </c>
      <c r="E32" s="29">
        <v>91747</v>
      </c>
      <c r="F32" s="33">
        <v>79684</v>
      </c>
      <c r="G32" s="39">
        <v>109097</v>
      </c>
      <c r="H32" s="39">
        <v>106406</v>
      </c>
      <c r="I32" s="39">
        <v>112055.74</v>
      </c>
      <c r="J32" s="39">
        <f t="shared" ref="J32:L33" si="10">I32*0.99</f>
        <v>110935.1826</v>
      </c>
      <c r="K32" s="39">
        <f t="shared" si="10"/>
        <v>109825.830774</v>
      </c>
      <c r="L32" s="39">
        <f t="shared" si="10"/>
        <v>108727.57246626</v>
      </c>
    </row>
    <row r="33" spans="1:16" ht="22.5" x14ac:dyDescent="0.25">
      <c r="A33" s="26">
        <v>23</v>
      </c>
      <c r="B33" s="27" t="s">
        <v>185</v>
      </c>
      <c r="C33" s="28" t="s">
        <v>90</v>
      </c>
      <c r="D33" s="29">
        <v>1892611</v>
      </c>
      <c r="E33" s="29">
        <v>2120375</v>
      </c>
      <c r="F33" s="33">
        <v>1387342</v>
      </c>
      <c r="G33" s="39">
        <v>1251824</v>
      </c>
      <c r="H33" s="39">
        <v>1456561</v>
      </c>
      <c r="I33" s="39">
        <v>1651814</v>
      </c>
      <c r="J33" s="39">
        <f>I33*0.99</f>
        <v>1635295.8599999999</v>
      </c>
      <c r="K33" s="39">
        <f t="shared" si="10"/>
        <v>1618942.9013999999</v>
      </c>
      <c r="L33" s="39">
        <f t="shared" si="10"/>
        <v>1602753.4723859997</v>
      </c>
    </row>
    <row r="34" spans="1:16" ht="22.5" x14ac:dyDescent="0.25">
      <c r="A34" s="26">
        <v>24</v>
      </c>
      <c r="B34" s="27" t="s">
        <v>183</v>
      </c>
      <c r="C34" s="28" t="s">
        <v>90</v>
      </c>
      <c r="D34" s="29">
        <v>325800</v>
      </c>
      <c r="E34" s="29">
        <v>306100</v>
      </c>
      <c r="F34" s="33">
        <v>280100</v>
      </c>
      <c r="G34" s="39">
        <v>229238</v>
      </c>
      <c r="H34" s="39">
        <v>302720</v>
      </c>
      <c r="I34" s="39">
        <v>240908</v>
      </c>
      <c r="J34" s="39">
        <f t="shared" ref="J34:L35" si="11">I34*0.99</f>
        <v>238498.91999999998</v>
      </c>
      <c r="K34" s="39">
        <f t="shared" si="11"/>
        <v>236113.93079999997</v>
      </c>
      <c r="L34" s="39">
        <f t="shared" si="11"/>
        <v>233752.79149199996</v>
      </c>
    </row>
    <row r="35" spans="1:16" ht="22.5" x14ac:dyDescent="0.25">
      <c r="A35" s="26">
        <v>25</v>
      </c>
      <c r="B35" s="27" t="s">
        <v>99</v>
      </c>
      <c r="C35" s="28" t="s">
        <v>87</v>
      </c>
      <c r="D35" s="29">
        <v>17615300</v>
      </c>
      <c r="E35" s="29">
        <v>17753100</v>
      </c>
      <c r="F35" s="33">
        <v>19376700</v>
      </c>
      <c r="G35" s="39">
        <v>16858486</v>
      </c>
      <c r="H35" s="33">
        <v>16917600</v>
      </c>
      <c r="I35" s="39">
        <v>16053900</v>
      </c>
      <c r="J35" s="39">
        <f>I35*0.99</f>
        <v>15893361</v>
      </c>
      <c r="K35" s="39">
        <f t="shared" si="11"/>
        <v>15734427.390000001</v>
      </c>
      <c r="L35" s="39">
        <f t="shared" si="11"/>
        <v>15577083.1161</v>
      </c>
    </row>
    <row r="36" spans="1:16" x14ac:dyDescent="0.25">
      <c r="A36" s="26">
        <v>26</v>
      </c>
      <c r="B36" s="27" t="s">
        <v>100</v>
      </c>
      <c r="C36" s="28" t="s">
        <v>88</v>
      </c>
      <c r="D36" s="33">
        <v>941600</v>
      </c>
      <c r="E36" s="29">
        <v>960000</v>
      </c>
      <c r="F36" s="33">
        <v>986300</v>
      </c>
      <c r="G36" s="33">
        <v>1004300</v>
      </c>
      <c r="H36" s="39">
        <v>986359.93</v>
      </c>
      <c r="I36" s="39">
        <v>996504</v>
      </c>
      <c r="J36" s="33">
        <v>1005505</v>
      </c>
      <c r="K36" s="33">
        <f t="shared" ref="K36:L36" si="12">J36+9000</f>
        <v>1014505</v>
      </c>
      <c r="L36" s="33">
        <f t="shared" si="12"/>
        <v>1023505</v>
      </c>
      <c r="M36" s="52"/>
    </row>
    <row r="37" spans="1:16" ht="22.5" x14ac:dyDescent="0.25">
      <c r="A37" s="26">
        <v>27</v>
      </c>
      <c r="B37" s="27" t="s">
        <v>101</v>
      </c>
      <c r="C37" s="28" t="s">
        <v>91</v>
      </c>
      <c r="D37" s="29">
        <v>34440</v>
      </c>
      <c r="E37" s="29">
        <v>34783</v>
      </c>
      <c r="F37" s="33">
        <v>35023</v>
      </c>
      <c r="G37" s="33">
        <v>35263</v>
      </c>
      <c r="H37" s="33">
        <v>36088</v>
      </c>
      <c r="I37" s="33">
        <v>36261</v>
      </c>
      <c r="J37" s="33">
        <f t="shared" ref="J37:L37" si="13">I37+120</f>
        <v>36381</v>
      </c>
      <c r="K37" s="33">
        <f t="shared" si="13"/>
        <v>36501</v>
      </c>
      <c r="L37" s="33">
        <f t="shared" si="13"/>
        <v>36621</v>
      </c>
    </row>
    <row r="38" spans="1:16" ht="33.75" x14ac:dyDescent="0.25">
      <c r="A38" s="26">
        <v>28</v>
      </c>
      <c r="B38" s="27" t="s">
        <v>105</v>
      </c>
      <c r="C38" s="28" t="s">
        <v>106</v>
      </c>
      <c r="D38" s="29">
        <v>1306</v>
      </c>
      <c r="E38" s="29">
        <v>1419</v>
      </c>
      <c r="F38" s="33">
        <v>1556</v>
      </c>
      <c r="G38" s="39">
        <v>1791</v>
      </c>
      <c r="H38" s="39">
        <v>2325.7020000000002</v>
      </c>
      <c r="I38" s="39">
        <v>2784.03</v>
      </c>
      <c r="J38" s="39">
        <f t="shared" ref="J38:L38" si="14">I38*1.01</f>
        <v>2811.8703</v>
      </c>
      <c r="K38" s="39">
        <f t="shared" si="14"/>
        <v>2839.9890030000001</v>
      </c>
      <c r="L38" s="39">
        <f t="shared" si="14"/>
        <v>2868.38889303</v>
      </c>
    </row>
    <row r="39" spans="1:16" ht="22.5" x14ac:dyDescent="0.25">
      <c r="A39" s="26">
        <v>29</v>
      </c>
      <c r="B39" s="27" t="s">
        <v>107</v>
      </c>
      <c r="C39" s="28" t="s">
        <v>88</v>
      </c>
      <c r="D39" s="29">
        <v>95600</v>
      </c>
      <c r="E39" s="29">
        <v>110000</v>
      </c>
      <c r="F39" s="33">
        <v>126100</v>
      </c>
      <c r="G39" s="33">
        <v>90868</v>
      </c>
      <c r="H39" s="33">
        <v>107594</v>
      </c>
      <c r="I39" s="33">
        <v>155124.29999999999</v>
      </c>
      <c r="J39" s="33">
        <v>158624.29999999999</v>
      </c>
      <c r="K39" s="33">
        <f>J39+3500</f>
        <v>162124.29999999999</v>
      </c>
      <c r="L39" s="33">
        <f>K39+3500</f>
        <v>165624.29999999999</v>
      </c>
    </row>
    <row r="40" spans="1:16" ht="33.75" x14ac:dyDescent="0.25">
      <c r="A40" s="26">
        <v>30</v>
      </c>
      <c r="B40" s="27" t="s">
        <v>128</v>
      </c>
      <c r="C40" s="28" t="s">
        <v>106</v>
      </c>
      <c r="D40" s="29">
        <v>11096</v>
      </c>
      <c r="E40" s="29">
        <v>10988</v>
      </c>
      <c r="F40" s="33">
        <v>8438</v>
      </c>
      <c r="G40" s="39">
        <v>5449</v>
      </c>
      <c r="H40" s="39">
        <v>5149.2669999999998</v>
      </c>
      <c r="I40" s="39">
        <v>5235.76</v>
      </c>
      <c r="J40" s="39">
        <f>I40*0.99</f>
        <v>5183.4023999999999</v>
      </c>
      <c r="K40" s="39">
        <f t="shared" ref="K40:L40" si="15">J40*0.99</f>
        <v>5131.5683760000002</v>
      </c>
      <c r="L40" s="39">
        <f t="shared" si="15"/>
        <v>5080.2526922400002</v>
      </c>
    </row>
    <row r="41" spans="1:16" ht="33.75" x14ac:dyDescent="0.25">
      <c r="A41" s="26">
        <v>31</v>
      </c>
      <c r="B41" s="27" t="s">
        <v>129</v>
      </c>
      <c r="C41" s="28" t="s">
        <v>91</v>
      </c>
      <c r="D41" s="29">
        <v>33145</v>
      </c>
      <c r="E41" s="29">
        <v>33235</v>
      </c>
      <c r="F41" s="33">
        <v>33250</v>
      </c>
      <c r="G41" s="33">
        <v>30626</v>
      </c>
      <c r="H41" s="33">
        <v>30881</v>
      </c>
      <c r="I41" s="33">
        <v>31456</v>
      </c>
      <c r="J41" s="33">
        <f t="shared" ref="J41:L41" si="16">I41+60</f>
        <v>31516</v>
      </c>
      <c r="K41" s="33">
        <f t="shared" si="16"/>
        <v>31576</v>
      </c>
      <c r="L41" s="33">
        <f t="shared" si="16"/>
        <v>31636</v>
      </c>
      <c r="M41" s="52"/>
      <c r="N41" s="50"/>
    </row>
    <row r="42" spans="1:16" ht="22.5" x14ac:dyDescent="0.25">
      <c r="A42" s="26">
        <v>32</v>
      </c>
      <c r="B42" s="27" t="s">
        <v>140</v>
      </c>
      <c r="C42" s="26" t="s">
        <v>81</v>
      </c>
      <c r="D42" s="30">
        <f>(D35/1000*0.123)+(D32/1000*0.1428)+((D38+D40)/1000*1.136)/1000</f>
        <v>2183.6206446720003</v>
      </c>
      <c r="E42" s="30">
        <f t="shared" ref="E42:L42" si="17">(E35/1000*0.123)+(E32/1000*0.1428)+((E38+E40)/1000*1.136)/1000</f>
        <v>2196.746865952</v>
      </c>
      <c r="F42" s="39">
        <f t="shared" si="17"/>
        <v>2394.7243283840003</v>
      </c>
      <c r="G42" s="39">
        <f>(G35/1000*0.123)+(G32/1000*0.1428)+((G38+G40)/1000*1.136)/1000</f>
        <v>2089.1810542400003</v>
      </c>
      <c r="H42" s="39">
        <f>(H35/1000*0.123)+(H32/1000*0.1428)+((H38+H40)/1000*1.136)/1000</f>
        <v>2096.0680683647838</v>
      </c>
      <c r="I42" s="39">
        <f>(I35/1000*0.123)+(I32/1000*0.1428)+((I38+I40)/1000*1.136)/1000</f>
        <v>1990.64037015344</v>
      </c>
      <c r="J42" s="39">
        <f t="shared" si="17"/>
        <v>1970.7340297050671</v>
      </c>
      <c r="K42" s="39">
        <f t="shared" si="17"/>
        <v>1951.0267532937098</v>
      </c>
      <c r="L42" s="39">
        <f t="shared" si="17"/>
        <v>1931.5165502853229</v>
      </c>
      <c r="M42" s="42"/>
      <c r="N42" s="35"/>
      <c r="P42" s="41"/>
    </row>
    <row r="43" spans="1:16" ht="22.5" x14ac:dyDescent="0.25">
      <c r="A43" s="26">
        <v>33</v>
      </c>
      <c r="B43" s="27" t="s">
        <v>108</v>
      </c>
      <c r="C43" s="26" t="s">
        <v>81</v>
      </c>
      <c r="D43" s="29">
        <v>36585</v>
      </c>
      <c r="E43" s="29">
        <v>36354</v>
      </c>
      <c r="F43" s="33">
        <v>38224</v>
      </c>
      <c r="G43" s="39">
        <v>30691</v>
      </c>
      <c r="H43" s="39">
        <v>34772</v>
      </c>
      <c r="I43" s="39">
        <v>34564</v>
      </c>
      <c r="J43" s="39">
        <f t="shared" ref="J43:L43" si="18">I43*0.99</f>
        <v>34218.36</v>
      </c>
      <c r="K43" s="39">
        <f t="shared" si="18"/>
        <v>33876.176399999997</v>
      </c>
      <c r="L43" s="39">
        <f t="shared" si="18"/>
        <v>33537.414635999994</v>
      </c>
    </row>
    <row r="44" spans="1:16" ht="22.5" x14ac:dyDescent="0.25">
      <c r="A44" s="26">
        <v>34</v>
      </c>
      <c r="B44" s="27" t="s">
        <v>109</v>
      </c>
      <c r="C44" s="26" t="s">
        <v>110</v>
      </c>
      <c r="D44" s="29">
        <v>0.22900000000000001</v>
      </c>
      <c r="E44" s="29">
        <v>0.22</v>
      </c>
      <c r="F44" s="33">
        <v>0.219</v>
      </c>
      <c r="G44" s="40">
        <v>0.19</v>
      </c>
      <c r="H44" s="40">
        <v>0.20300000000000001</v>
      </c>
      <c r="I44" s="40">
        <v>0.20399999999999999</v>
      </c>
      <c r="J44" s="40">
        <f t="shared" ref="J44:L44" si="19">I44*0.9937</f>
        <v>0.2027148</v>
      </c>
      <c r="K44" s="40">
        <f t="shared" si="19"/>
        <v>0.20143769676000001</v>
      </c>
      <c r="L44" s="40">
        <f t="shared" si="19"/>
        <v>0.20016863927041201</v>
      </c>
    </row>
    <row r="45" spans="1:16" ht="22.5" x14ac:dyDescent="0.25">
      <c r="A45" s="26">
        <v>35</v>
      </c>
      <c r="B45" s="27" t="s">
        <v>111</v>
      </c>
      <c r="C45" s="26" t="s">
        <v>81</v>
      </c>
      <c r="D45" s="29">
        <f>9731+2531</f>
        <v>12262</v>
      </c>
      <c r="E45" s="29">
        <f>9184+2599</f>
        <v>11783</v>
      </c>
      <c r="F45" s="33">
        <f>9945+2138</f>
        <v>12083</v>
      </c>
      <c r="G45" s="39">
        <v>9950</v>
      </c>
      <c r="H45" s="39">
        <v>9309</v>
      </c>
      <c r="I45" s="39">
        <v>8221.09</v>
      </c>
      <c r="J45" s="39">
        <f>I45*0.99</f>
        <v>8138.8791000000001</v>
      </c>
      <c r="K45" s="39">
        <f>J45*0.99</f>
        <v>8057.4903089999998</v>
      </c>
      <c r="L45" s="39">
        <f>K45*0.99</f>
        <v>7976.9154059100001</v>
      </c>
    </row>
    <row r="46" spans="1:16" x14ac:dyDescent="0.25">
      <c r="A46" s="26">
        <v>36</v>
      </c>
      <c r="B46" s="27" t="s">
        <v>112</v>
      </c>
      <c r="C46" s="26" t="s">
        <v>103</v>
      </c>
      <c r="D46" s="29">
        <f>57421+16458</f>
        <v>73879</v>
      </c>
      <c r="E46" s="29">
        <f>54077+17115</f>
        <v>71192</v>
      </c>
      <c r="F46" s="33">
        <f>58984+14278</f>
        <v>73262</v>
      </c>
      <c r="G46" s="39">
        <v>59553</v>
      </c>
      <c r="H46" s="39">
        <v>56676</v>
      </c>
      <c r="I46" s="39">
        <v>50559.87</v>
      </c>
      <c r="J46" s="39">
        <f>J45/0.1625</f>
        <v>50085.409846153845</v>
      </c>
      <c r="K46" s="39">
        <f>K45/0.162</f>
        <v>49737.594499999999</v>
      </c>
      <c r="L46" s="39">
        <f>L45/0.1615</f>
        <v>49392.665052074306</v>
      </c>
    </row>
    <row r="47" spans="1:16" ht="34.5" x14ac:dyDescent="0.25">
      <c r="A47" s="26">
        <v>37</v>
      </c>
      <c r="B47" s="34" t="s">
        <v>113</v>
      </c>
      <c r="C47" s="28" t="s">
        <v>83</v>
      </c>
      <c r="D47" s="29">
        <v>4162</v>
      </c>
      <c r="E47" s="29">
        <v>4317</v>
      </c>
      <c r="F47" s="33">
        <v>4639</v>
      </c>
      <c r="G47" s="39">
        <v>2865</v>
      </c>
      <c r="H47" s="39">
        <v>2815.58</v>
      </c>
      <c r="I47" s="39">
        <v>2902.54</v>
      </c>
      <c r="J47" s="39">
        <f>I47*0.99</f>
        <v>2873.5146</v>
      </c>
      <c r="K47" s="39">
        <f t="shared" ref="K47:L47" si="20">J47*0.99</f>
        <v>2844.779454</v>
      </c>
      <c r="L47" s="39">
        <f t="shared" si="20"/>
        <v>2816.3316594600001</v>
      </c>
    </row>
    <row r="48" spans="1:16" ht="23.25" x14ac:dyDescent="0.25">
      <c r="A48" s="26">
        <v>38</v>
      </c>
      <c r="B48" s="34" t="s">
        <v>168</v>
      </c>
      <c r="C48" s="28" t="s">
        <v>106</v>
      </c>
      <c r="D48" s="29">
        <v>11796</v>
      </c>
      <c r="E48" s="29">
        <v>13271</v>
      </c>
      <c r="F48" s="33">
        <v>13819</v>
      </c>
      <c r="G48" s="39">
        <v>5741</v>
      </c>
      <c r="H48" s="39">
        <v>5910</v>
      </c>
      <c r="I48" s="39">
        <v>6071.77</v>
      </c>
      <c r="J48" s="39">
        <f>J47/0.475</f>
        <v>6049.5044210526321</v>
      </c>
      <c r="K48" s="39">
        <f>K47/0.473</f>
        <v>6014.3328837209301</v>
      </c>
      <c r="L48" s="39">
        <f>L47/0.47</f>
        <v>5992.1950201276604</v>
      </c>
    </row>
    <row r="49" spans="1:16" x14ac:dyDescent="0.25">
      <c r="A49" s="26">
        <v>39</v>
      </c>
      <c r="B49" s="34" t="s">
        <v>114</v>
      </c>
      <c r="C49" s="26" t="s">
        <v>103</v>
      </c>
      <c r="D49" s="29">
        <v>13352</v>
      </c>
      <c r="E49" s="29">
        <v>12419</v>
      </c>
      <c r="F49" s="33">
        <v>12699</v>
      </c>
      <c r="G49" s="39">
        <v>22079</v>
      </c>
      <c r="H49" s="39">
        <v>45930</v>
      </c>
      <c r="I49" s="39">
        <v>43007.81</v>
      </c>
      <c r="J49" s="39">
        <f t="shared" ref="J49:L49" si="21">I49*0.99</f>
        <v>42577.731899999999</v>
      </c>
      <c r="K49" s="39">
        <f t="shared" si="21"/>
        <v>42151.954580999998</v>
      </c>
      <c r="L49" s="39">
        <f t="shared" si="21"/>
        <v>41730.435035189999</v>
      </c>
    </row>
    <row r="50" spans="1:16" x14ac:dyDescent="0.25">
      <c r="A50" s="26">
        <v>40</v>
      </c>
      <c r="B50" s="34" t="s">
        <v>115</v>
      </c>
      <c r="C50" s="26" t="s">
        <v>103</v>
      </c>
      <c r="D50" s="29">
        <f>D49+D12*1000</f>
        <v>300352</v>
      </c>
      <c r="E50" s="29">
        <f>E49+E12*1000</f>
        <v>277419</v>
      </c>
      <c r="F50" s="33">
        <f>F49+F12*1000</f>
        <v>288699</v>
      </c>
      <c r="G50" s="39">
        <v>227606</v>
      </c>
      <c r="H50" s="33">
        <f>H49+H12*1000</f>
        <v>314130</v>
      </c>
      <c r="I50" s="39">
        <v>294877.81</v>
      </c>
      <c r="J50" s="39">
        <f>J49/0.1456</f>
        <v>292429.47733516479</v>
      </c>
      <c r="K50" s="39">
        <f>K49/0.1455</f>
        <v>289704.15519587632</v>
      </c>
      <c r="L50" s="39">
        <f>L49/0.1453</f>
        <v>287201.89287811425</v>
      </c>
      <c r="M50" s="55"/>
    </row>
    <row r="51" spans="1:16" ht="22.5" x14ac:dyDescent="0.25">
      <c r="A51" s="26">
        <v>41</v>
      </c>
      <c r="B51" s="34" t="s">
        <v>116</v>
      </c>
      <c r="C51" s="28" t="s">
        <v>106</v>
      </c>
      <c r="D51" s="29">
        <v>385</v>
      </c>
      <c r="E51" s="29">
        <v>358</v>
      </c>
      <c r="F51" s="33">
        <v>326</v>
      </c>
      <c r="G51" s="39">
        <v>313</v>
      </c>
      <c r="H51" s="39">
        <v>299.04700000000003</v>
      </c>
      <c r="I51" s="39">
        <v>316.77999999999997</v>
      </c>
      <c r="J51" s="39">
        <f>I51*0.988</f>
        <v>312.97863999999998</v>
      </c>
      <c r="K51" s="39">
        <f>J51*0.987</f>
        <v>308.90991767999998</v>
      </c>
      <c r="L51" s="39">
        <f>K51*0.986</f>
        <v>304.58517883247998</v>
      </c>
      <c r="M51" s="41"/>
      <c r="N51" s="41"/>
      <c r="O51" s="41"/>
      <c r="P51" s="41"/>
    </row>
    <row r="52" spans="1:16" ht="23.25" x14ac:dyDescent="0.25">
      <c r="A52" s="26">
        <v>42</v>
      </c>
      <c r="B52" s="34" t="s">
        <v>117</v>
      </c>
      <c r="C52" s="28" t="s">
        <v>83</v>
      </c>
      <c r="D52" s="30">
        <v>2900</v>
      </c>
      <c r="E52" s="30">
        <v>2833.7</v>
      </c>
      <c r="F52" s="39">
        <v>2615.9499999999998</v>
      </c>
      <c r="G52" s="39">
        <v>2809</v>
      </c>
      <c r="H52" s="39">
        <v>1782</v>
      </c>
      <c r="I52" s="39">
        <v>1692</v>
      </c>
      <c r="J52" s="39">
        <f>I52*0.987</f>
        <v>1670.0039999999999</v>
      </c>
      <c r="K52" s="39">
        <f>J52*0.986</f>
        <v>1646.6239439999999</v>
      </c>
      <c r="L52" s="39">
        <f>K52*0.985</f>
        <v>1621.9245848399999</v>
      </c>
    </row>
    <row r="53" spans="1:16" ht="23.25" x14ac:dyDescent="0.25">
      <c r="A53" s="26">
        <v>43</v>
      </c>
      <c r="B53" s="34" t="s">
        <v>118</v>
      </c>
      <c r="C53" s="28" t="s">
        <v>83</v>
      </c>
      <c r="D53" s="29">
        <v>1852</v>
      </c>
      <c r="E53" s="29">
        <v>1809</v>
      </c>
      <c r="F53" s="33">
        <v>1851</v>
      </c>
      <c r="G53" s="39">
        <v>1709</v>
      </c>
      <c r="H53" s="39">
        <v>1828.16</v>
      </c>
      <c r="I53" s="39">
        <v>1661.08</v>
      </c>
      <c r="J53" s="39">
        <f>I53*0.99</f>
        <v>1644.4692</v>
      </c>
      <c r="K53" s="39">
        <f t="shared" ref="K53" si="22">J53*0.99</f>
        <v>1628.024508</v>
      </c>
      <c r="L53" s="39">
        <f>K53*0.99</f>
        <v>1611.74426292</v>
      </c>
    </row>
    <row r="54" spans="1:16" ht="22.5" x14ac:dyDescent="0.25">
      <c r="A54" s="26">
        <v>44</v>
      </c>
      <c r="B54" s="34" t="s">
        <v>119</v>
      </c>
      <c r="C54" s="28" t="s">
        <v>106</v>
      </c>
      <c r="D54" s="29">
        <v>3222</v>
      </c>
      <c r="E54" s="29">
        <v>2952</v>
      </c>
      <c r="F54" s="33">
        <v>2750</v>
      </c>
      <c r="G54" s="39">
        <v>2655</v>
      </c>
      <c r="H54" s="39">
        <v>3129.7</v>
      </c>
      <c r="I54" s="39">
        <v>2627.6</v>
      </c>
      <c r="J54" s="39">
        <f>J53/0.63</f>
        <v>2610.2685714285712</v>
      </c>
      <c r="K54" s="39">
        <f>K53/0.629</f>
        <v>2588.2742575516691</v>
      </c>
      <c r="L54" s="39">
        <f>L53/0.628</f>
        <v>2566.4717562420383</v>
      </c>
    </row>
    <row r="55" spans="1:16" ht="23.25" x14ac:dyDescent="0.25">
      <c r="A55" s="26">
        <v>45</v>
      </c>
      <c r="B55" s="34" t="s">
        <v>120</v>
      </c>
      <c r="C55" s="28" t="s">
        <v>87</v>
      </c>
      <c r="D55" s="29">
        <v>2162921</v>
      </c>
      <c r="E55" s="29">
        <v>1459092</v>
      </c>
      <c r="F55" s="33">
        <v>1488617</v>
      </c>
      <c r="G55" s="33">
        <v>1737237</v>
      </c>
      <c r="H55" s="33">
        <v>1731398</v>
      </c>
      <c r="I55" s="33">
        <v>1781241</v>
      </c>
      <c r="J55" s="33">
        <f>I55*0.998</f>
        <v>1777678.5179999999</v>
      </c>
      <c r="K55" s="33">
        <f>J55*0.998</f>
        <v>1774123.1609639998</v>
      </c>
      <c r="L55" s="33">
        <f>K55*0.998</f>
        <v>1770574.9146420718</v>
      </c>
    </row>
    <row r="56" spans="1:16" x14ac:dyDescent="0.25">
      <c r="A56" s="26">
        <v>46</v>
      </c>
      <c r="B56" s="34" t="s">
        <v>121</v>
      </c>
      <c r="C56" s="28" t="s">
        <v>122</v>
      </c>
      <c r="D56" s="29">
        <v>1327900</v>
      </c>
      <c r="E56" s="29">
        <v>1327900</v>
      </c>
      <c r="F56" s="33">
        <v>1327900</v>
      </c>
      <c r="G56" s="33">
        <f t="shared" ref="G56" si="23">F56+100</f>
        <v>1328000</v>
      </c>
      <c r="H56" s="33">
        <v>1328100</v>
      </c>
      <c r="I56" s="33">
        <v>1328100</v>
      </c>
      <c r="J56" s="33">
        <f>I56</f>
        <v>1328100</v>
      </c>
      <c r="K56" s="33">
        <f>J56</f>
        <v>1328100</v>
      </c>
      <c r="L56" s="33">
        <f>K56</f>
        <v>1328100</v>
      </c>
    </row>
  </sheetData>
  <mergeCells count="8">
    <mergeCell ref="K1:M1"/>
    <mergeCell ref="F2:M2"/>
    <mergeCell ref="A8:L8"/>
    <mergeCell ref="A4:C4"/>
    <mergeCell ref="E4:L4"/>
    <mergeCell ref="A5:C5"/>
    <mergeCell ref="E5:L5"/>
    <mergeCell ref="E6:L6"/>
  </mergeCells>
  <phoneticPr fontId="6" type="noConversion"/>
  <pageMargins left="0.31496062992125984" right="0.31496062992125984" top="0.55118110236220474" bottom="0.35433070866141736" header="0.31496062992125984" footer="0.31496062992125984"/>
  <pageSetup paperSize="9" scale="95" orientation="landscape" r:id="rId1"/>
  <ignoredErrors>
    <ignoredError sqref="J26:L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zoomScale="115" zoomScaleNormal="115" workbookViewId="0">
      <selection activeCell="B14" sqref="B14"/>
    </sheetView>
  </sheetViews>
  <sheetFormatPr defaultRowHeight="15" x14ac:dyDescent="0.25"/>
  <cols>
    <col min="1" max="1" width="3.140625" bestFit="1" customWidth="1"/>
    <col min="2" max="2" width="36.7109375" customWidth="1"/>
    <col min="3" max="3" width="18.140625" customWidth="1"/>
    <col min="4" max="4" width="24.7109375" customWidth="1"/>
    <col min="5" max="5" width="10" hidden="1" customWidth="1"/>
    <col min="6" max="6" width="0.28515625" hidden="1" customWidth="1"/>
    <col min="9" max="9" width="9.140625" style="36"/>
  </cols>
  <sheetData>
    <row r="1" spans="1:13" ht="15.75" x14ac:dyDescent="0.25">
      <c r="F1" s="76"/>
      <c r="G1" s="76"/>
      <c r="H1" s="76"/>
      <c r="I1" s="77"/>
      <c r="J1" s="76"/>
      <c r="K1" s="78" t="s">
        <v>190</v>
      </c>
      <c r="L1" s="78"/>
      <c r="M1" s="78"/>
    </row>
    <row r="2" spans="1:13" ht="14.25" customHeight="1" x14ac:dyDescent="0.25">
      <c r="A2" s="3"/>
      <c r="B2" s="3"/>
      <c r="C2" s="4"/>
      <c r="D2" s="5"/>
      <c r="E2" s="4"/>
      <c r="F2" s="79" t="s">
        <v>191</v>
      </c>
      <c r="G2" s="79"/>
      <c r="H2" s="79"/>
      <c r="I2" s="79"/>
      <c r="J2" s="79"/>
      <c r="K2" s="79"/>
      <c r="L2" s="79"/>
      <c r="M2" s="79"/>
    </row>
    <row r="3" spans="1:13" ht="14.25" customHeight="1" x14ac:dyDescent="0.25">
      <c r="A3" s="3"/>
      <c r="B3" s="3"/>
      <c r="C3" s="4"/>
      <c r="D3" s="5"/>
      <c r="E3" s="4"/>
      <c r="F3" s="80"/>
      <c r="G3" s="80"/>
      <c r="H3" s="80"/>
      <c r="I3" s="80"/>
      <c r="J3" s="80"/>
      <c r="K3" s="79" t="s">
        <v>192</v>
      </c>
      <c r="L3" s="79"/>
      <c r="M3" s="79"/>
    </row>
    <row r="4" spans="1:13" ht="14.25" customHeight="1" x14ac:dyDescent="0.25">
      <c r="A4" s="3"/>
      <c r="B4" s="3"/>
      <c r="C4" s="4"/>
      <c r="D4" s="5"/>
      <c r="E4" s="4"/>
      <c r="F4" s="80"/>
      <c r="G4" s="80"/>
      <c r="H4" s="80"/>
      <c r="I4" s="80"/>
      <c r="J4" s="80"/>
      <c r="K4" s="79" t="s">
        <v>193</v>
      </c>
      <c r="L4" s="79"/>
      <c r="M4" s="79"/>
    </row>
    <row r="5" spans="1:13" ht="14.25" customHeight="1" x14ac:dyDescent="0.25">
      <c r="A5" s="3"/>
      <c r="B5" s="3"/>
      <c r="C5" s="4"/>
      <c r="D5" s="81" t="s">
        <v>175</v>
      </c>
      <c r="E5" s="81"/>
      <c r="F5" s="81"/>
      <c r="G5" s="81"/>
      <c r="H5" s="81"/>
      <c r="I5" s="81"/>
      <c r="J5" s="81"/>
      <c r="K5" s="81"/>
      <c r="L5" s="81"/>
      <c r="M5" s="81"/>
    </row>
    <row r="6" spans="1:13" ht="15.75" x14ac:dyDescent="0.25">
      <c r="A6" s="3"/>
      <c r="B6" s="3"/>
      <c r="C6" s="4"/>
      <c r="D6" s="81" t="s">
        <v>176</v>
      </c>
      <c r="E6" s="81"/>
      <c r="F6" s="81"/>
      <c r="G6" s="81"/>
      <c r="H6" s="81"/>
      <c r="I6" s="81"/>
      <c r="J6" s="81"/>
      <c r="K6" s="81"/>
      <c r="L6" s="81"/>
      <c r="M6" s="81"/>
    </row>
    <row r="7" spans="1:13" ht="15.75" x14ac:dyDescent="0.25">
      <c r="A7" s="3"/>
      <c r="B7" s="3"/>
      <c r="C7" s="4"/>
      <c r="D7" s="82" t="s">
        <v>189</v>
      </c>
      <c r="E7" s="82"/>
      <c r="F7" s="82"/>
      <c r="G7" s="82"/>
      <c r="H7" s="82"/>
      <c r="I7" s="82"/>
      <c r="J7" s="82"/>
      <c r="K7" s="82"/>
      <c r="L7" s="82"/>
      <c r="M7" s="82"/>
    </row>
    <row r="8" spans="1:13" ht="74.25" customHeight="1" x14ac:dyDescent="0.25">
      <c r="A8" s="63" t="s">
        <v>188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</row>
    <row r="9" spans="1:13" ht="21.75" customHeight="1" x14ac:dyDescent="0.25">
      <c r="A9" s="67" t="s">
        <v>138</v>
      </c>
      <c r="B9" s="69" t="s">
        <v>170</v>
      </c>
      <c r="C9" s="71" t="s">
        <v>178</v>
      </c>
      <c r="D9" s="71" t="s">
        <v>61</v>
      </c>
      <c r="E9" s="22"/>
      <c r="F9" s="22"/>
      <c r="G9" s="59" t="s">
        <v>177</v>
      </c>
      <c r="H9" s="60"/>
      <c r="I9" s="60"/>
      <c r="J9" s="60"/>
      <c r="K9" s="60"/>
      <c r="L9" s="60"/>
      <c r="M9" s="61"/>
    </row>
    <row r="10" spans="1:13" ht="23.25" customHeight="1" x14ac:dyDescent="0.25">
      <c r="A10" s="68"/>
      <c r="B10" s="70"/>
      <c r="C10" s="72"/>
      <c r="D10" s="72"/>
      <c r="E10" s="13">
        <v>2012</v>
      </c>
      <c r="F10" s="13">
        <v>2013</v>
      </c>
      <c r="G10" s="13">
        <v>2014</v>
      </c>
      <c r="H10" s="13">
        <v>2015</v>
      </c>
      <c r="I10" s="43">
        <v>2016</v>
      </c>
      <c r="J10" s="13">
        <v>2017</v>
      </c>
      <c r="K10" s="13">
        <v>2018</v>
      </c>
      <c r="L10" s="13">
        <v>2019</v>
      </c>
      <c r="M10" s="13">
        <v>2020</v>
      </c>
    </row>
    <row r="11" spans="1:13" ht="21.75" customHeight="1" x14ac:dyDescent="0.25">
      <c r="A11" s="6">
        <v>1</v>
      </c>
      <c r="B11" s="64" t="s">
        <v>6</v>
      </c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6"/>
    </row>
    <row r="12" spans="1:13" ht="84" x14ac:dyDescent="0.25">
      <c r="A12" s="7" t="s">
        <v>7</v>
      </c>
      <c r="B12" s="14" t="s">
        <v>0</v>
      </c>
      <c r="C12" s="15" t="s">
        <v>60</v>
      </c>
      <c r="D12" s="15" t="s">
        <v>141</v>
      </c>
      <c r="E12" s="15">
        <f>'исх. данные'!D16/'исх. данные'!D11*100</f>
        <v>100</v>
      </c>
      <c r="F12" s="15">
        <f>'исх. данные'!E16/'исх. данные'!E11*100</f>
        <v>100</v>
      </c>
      <c r="G12" s="15">
        <f>'исх. данные'!F16/'исх. данные'!F11*100</f>
        <v>100</v>
      </c>
      <c r="H12" s="15">
        <f>'исх. данные'!G16/'исх. данные'!G11*100</f>
        <v>100</v>
      </c>
      <c r="I12" s="21">
        <f>'исх. данные'!H16/'исх. данные'!H11*100</f>
        <v>100</v>
      </c>
      <c r="J12" s="15">
        <f>'исх. данные'!I16/'исх. данные'!I11*100</f>
        <v>100</v>
      </c>
      <c r="K12" s="15">
        <f>'исх. данные'!J16/'исх. данные'!J11*100</f>
        <v>100</v>
      </c>
      <c r="L12" s="15">
        <f>'исх. данные'!K16/'исх. данные'!K11*100</f>
        <v>100</v>
      </c>
      <c r="M12" s="15">
        <f>'исх. данные'!L16/'исх. данные'!L11*100</f>
        <v>100</v>
      </c>
    </row>
    <row r="13" spans="1:13" ht="72" x14ac:dyDescent="0.25">
      <c r="A13" s="7" t="s">
        <v>8</v>
      </c>
      <c r="B13" s="14" t="s">
        <v>1</v>
      </c>
      <c r="C13" s="15" t="s">
        <v>60</v>
      </c>
      <c r="D13" s="15" t="s">
        <v>142</v>
      </c>
      <c r="E13" s="16">
        <f>'исх. данные'!D17/'исх. данные'!D12*100</f>
        <v>65.156794425087099</v>
      </c>
      <c r="F13" s="16">
        <f>'исх. данные'!E17/'исх. данные'!E12*100</f>
        <v>54.716981132075468</v>
      </c>
      <c r="G13" s="16">
        <v>64</v>
      </c>
      <c r="H13" s="16">
        <v>67</v>
      </c>
      <c r="I13" s="44">
        <f>'исх. данные'!H17/'исх. данные'!H12*100</f>
        <v>57.00969425801641</v>
      </c>
      <c r="J13" s="16">
        <f>'исх. данные'!I17/'исх. данные'!I12*100</f>
        <v>57.831420971135906</v>
      </c>
      <c r="K13" s="16">
        <f>'исх. данные'!J17/'исх. данные'!J12*100</f>
        <v>59</v>
      </c>
      <c r="L13" s="16">
        <f>'исх. данные'!K17/'исх. данные'!K12*100</f>
        <v>61</v>
      </c>
      <c r="M13" s="16">
        <f>'исх. данные'!L17/'исх. данные'!L12*100</f>
        <v>62</v>
      </c>
    </row>
    <row r="14" spans="1:13" ht="72" x14ac:dyDescent="0.25">
      <c r="A14" s="7" t="s">
        <v>9</v>
      </c>
      <c r="B14" s="14" t="s">
        <v>2</v>
      </c>
      <c r="C14" s="15" t="s">
        <v>60</v>
      </c>
      <c r="D14" s="15" t="s">
        <v>143</v>
      </c>
      <c r="E14" s="16">
        <f>'исх. данные'!D18/'исх. данные'!D13*100</f>
        <v>47.81099839829151</v>
      </c>
      <c r="F14" s="16">
        <f>'исх. данные'!E18/'исх. данные'!E13*100</f>
        <v>43.402366863905321</v>
      </c>
      <c r="G14" s="16">
        <f>'исх. данные'!F18/'исх. данные'!F13*100</f>
        <v>51.166359729895639</v>
      </c>
      <c r="H14" s="16">
        <f>'исх. данные'!G18/'исх. данные'!G13*100</f>
        <v>57.869481765834927</v>
      </c>
      <c r="I14" s="44">
        <f>'исх. данные'!H18/'исх. данные'!H13*100</f>
        <v>61.055377207062598</v>
      </c>
      <c r="J14" s="16">
        <f>'исх. данные'!I18/'исх. данные'!I13*100</f>
        <v>57.701844031921745</v>
      </c>
      <c r="K14" s="16">
        <f>'исх. данные'!J18/'исх. данные'!J13*100</f>
        <v>59</v>
      </c>
      <c r="L14" s="16">
        <f>'исх. данные'!K18/'исх. данные'!K13*100</f>
        <v>60</v>
      </c>
      <c r="M14" s="16">
        <f>'исх. данные'!L18/'исх. данные'!L13*100</f>
        <v>61</v>
      </c>
    </row>
    <row r="15" spans="1:13" ht="72" x14ac:dyDescent="0.25">
      <c r="A15" s="7" t="s">
        <v>10</v>
      </c>
      <c r="B15" s="14" t="s">
        <v>3</v>
      </c>
      <c r="C15" s="15" t="s">
        <v>60</v>
      </c>
      <c r="D15" s="15" t="s">
        <v>144</v>
      </c>
      <c r="E15" s="16">
        <f>'исх. данные'!D19/'исх. данные'!D14*100</f>
        <v>12.619502868068832</v>
      </c>
      <c r="F15" s="16">
        <f>'исх. данные'!E19/'исх. данные'!E14*100</f>
        <v>48.991935483870968</v>
      </c>
      <c r="G15" s="16">
        <v>71</v>
      </c>
      <c r="H15" s="16">
        <v>75</v>
      </c>
      <c r="I15" s="44">
        <f>'исх. данные'!H19/'исх. данные'!H14*100</f>
        <v>77.675739957716701</v>
      </c>
      <c r="J15" s="44">
        <f>'исх. данные'!I19/'исх. данные'!I14*100</f>
        <v>85.241907413853113</v>
      </c>
      <c r="K15" s="44">
        <f>'исх. данные'!J19/'исх. данные'!J14*100</f>
        <v>83</v>
      </c>
      <c r="L15" s="44">
        <f>'исх. данные'!K19/'исх. данные'!K14*100</f>
        <v>82</v>
      </c>
      <c r="M15" s="44">
        <f>'исх. данные'!L19/'исх. данные'!L14*100</f>
        <v>80</v>
      </c>
    </row>
    <row r="16" spans="1:13" ht="78" customHeight="1" x14ac:dyDescent="0.25">
      <c r="A16" s="7" t="s">
        <v>11</v>
      </c>
      <c r="B16" s="14" t="s">
        <v>4</v>
      </c>
      <c r="C16" s="15" t="s">
        <v>60</v>
      </c>
      <c r="D16" s="15" t="s">
        <v>145</v>
      </c>
      <c r="E16" s="16">
        <f>'исх. данные'!D20/'исх. данные'!D15*100</f>
        <v>79.531812161235464</v>
      </c>
      <c r="F16" s="16">
        <f>'исх. данные'!E20/'исх. данные'!E15*100</f>
        <v>80.050297479254738</v>
      </c>
      <c r="G16" s="16">
        <v>73</v>
      </c>
      <c r="H16" s="16">
        <v>74</v>
      </c>
      <c r="I16" s="44">
        <f>'исх. данные'!H20/'исх. данные'!H15*100</f>
        <v>83.409195738816038</v>
      </c>
      <c r="J16" s="16">
        <f>'исх. данные'!I20/'исх. данные'!I15*100</f>
        <v>87.863238138454889</v>
      </c>
      <c r="K16" s="16">
        <f>'исх. данные'!J20/'исх. данные'!J15*100</f>
        <v>88.703755770705811</v>
      </c>
      <c r="L16" s="16">
        <f>'исх. данные'!K20/'исх. данные'!K15*100</f>
        <v>88.999999999999986</v>
      </c>
      <c r="M16" s="16">
        <f>'исх. данные'!L20/'исх. данные'!L15*100</f>
        <v>90</v>
      </c>
    </row>
    <row r="17" spans="1:13" ht="95.25" customHeight="1" x14ac:dyDescent="0.25">
      <c r="A17" s="7" t="s">
        <v>12</v>
      </c>
      <c r="B17" s="14" t="s">
        <v>5</v>
      </c>
      <c r="C17" s="15" t="s">
        <v>60</v>
      </c>
      <c r="D17" s="15" t="s">
        <v>146</v>
      </c>
      <c r="E17" s="15">
        <f>'исх. данные'!D21/'исх. данные'!D22</f>
        <v>0</v>
      </c>
      <c r="F17" s="15">
        <f>'исх. данные'!E21/'исх. данные'!E22</f>
        <v>0</v>
      </c>
      <c r="G17" s="15">
        <f>'исх. данные'!F21/'исх. данные'!F22</f>
        <v>0</v>
      </c>
      <c r="H17" s="15">
        <f>'исх. данные'!G21/'исх. данные'!G22</f>
        <v>0</v>
      </c>
      <c r="I17" s="21">
        <f>'исх. данные'!H21/'исх. данные'!H22</f>
        <v>0</v>
      </c>
      <c r="J17" s="15">
        <f>'исх. данные'!I21/'исх. данные'!I22</f>
        <v>0</v>
      </c>
      <c r="K17" s="15">
        <f>'исх. данные'!J21/'исх. данные'!J22</f>
        <v>0</v>
      </c>
      <c r="L17" s="15">
        <f>'исх. данные'!K21/'исх. данные'!K22</f>
        <v>0</v>
      </c>
      <c r="M17" s="15">
        <f>'исх. данные'!L21/'исх. данные'!L22</f>
        <v>0</v>
      </c>
    </row>
    <row r="18" spans="1:13" ht="24" customHeight="1" x14ac:dyDescent="0.25">
      <c r="A18" s="8">
        <v>2</v>
      </c>
      <c r="B18" s="73" t="s">
        <v>13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5"/>
    </row>
    <row r="19" spans="1:13" ht="60" x14ac:dyDescent="0.25">
      <c r="A19" s="7" t="s">
        <v>38</v>
      </c>
      <c r="B19" s="14" t="s">
        <v>14</v>
      </c>
      <c r="C19" s="15" t="s">
        <v>63</v>
      </c>
      <c r="D19" s="15" t="s">
        <v>147</v>
      </c>
      <c r="E19" s="17">
        <f>'исх. данные'!D23/'исх. данные'!D28</f>
        <v>18.524503102324115</v>
      </c>
      <c r="F19" s="17">
        <f>'исх. данные'!E23/'исх. данные'!E28</f>
        <v>18.497754373475434</v>
      </c>
      <c r="G19" s="17">
        <f>'исх. данные'!F23/'исх. данные'!F28</f>
        <v>20.061683403249866</v>
      </c>
      <c r="H19" s="17">
        <v>28.72</v>
      </c>
      <c r="I19" s="45">
        <f>'исх. данные'!H23/'исх. данные'!H28</f>
        <v>23.842659709080763</v>
      </c>
      <c r="J19" s="45">
        <f>'исх. данные'!I23/'исх. данные'!I28</f>
        <v>23.119659781981976</v>
      </c>
      <c r="K19" s="45">
        <f>'исх. данные'!J23/'исх. данные'!J28</f>
        <v>23.020245244919455</v>
      </c>
      <c r="L19" s="45">
        <f>'исх. данные'!K23/'исх. данные'!K28</f>
        <v>22.921258190366302</v>
      </c>
      <c r="M19" s="45">
        <f>'исх. данные'!L23/'исх. данные'!L28</f>
        <v>22.82269678014773</v>
      </c>
    </row>
    <row r="20" spans="1:13" ht="60" x14ac:dyDescent="0.25">
      <c r="A20" s="7" t="s">
        <v>39</v>
      </c>
      <c r="B20" s="14" t="s">
        <v>15</v>
      </c>
      <c r="C20" s="15" t="s">
        <v>64</v>
      </c>
      <c r="D20" s="15" t="s">
        <v>148</v>
      </c>
      <c r="E20" s="18">
        <f>'исх. данные'!D24/'исх. данные'!D28</f>
        <v>0.205373856346619</v>
      </c>
      <c r="F20" s="18">
        <f>'исх. данные'!E24/'исх. данные'!E28</f>
        <v>0.17073043059496015</v>
      </c>
      <c r="G20" s="18">
        <f>'исх. данные'!F24/'исх. данные'!F28</f>
        <v>0.18330813668265236</v>
      </c>
      <c r="H20" s="18">
        <f>'исх. данные'!G24/'исх. данные'!G28</f>
        <v>0.15564631194190168</v>
      </c>
      <c r="I20" s="46">
        <f>'исх. данные'!H24/'исх. данные'!H28</f>
        <v>0.1481993007251538</v>
      </c>
      <c r="J20" s="46">
        <f>'исх. данные'!I24/'исх. данные'!I28</f>
        <v>0.1758268736585599</v>
      </c>
      <c r="K20" s="46">
        <f>'исх. данные'!J24/'исх. данные'!J28</f>
        <v>0.17406860492197429</v>
      </c>
      <c r="L20" s="46">
        <f>'исх. данные'!K24/'исх. данные'!K28</f>
        <v>0.17232791887275453</v>
      </c>
      <c r="M20" s="46">
        <f>'исх. данные'!L24/'исх. данные'!L28</f>
        <v>0.170604639684027</v>
      </c>
    </row>
    <row r="21" spans="1:13" ht="48" x14ac:dyDescent="0.25">
      <c r="A21" s="7" t="s">
        <v>40</v>
      </c>
      <c r="B21" s="14" t="s">
        <v>16</v>
      </c>
      <c r="C21" s="15" t="s">
        <v>65</v>
      </c>
      <c r="D21" s="15" t="s">
        <v>149</v>
      </c>
      <c r="E21" s="17">
        <f>'исх. данные'!D25/'исх. данные'!D29</f>
        <v>46.357388316151201</v>
      </c>
      <c r="F21" s="17">
        <f>'исх. данные'!E25/'исх. данные'!E29</f>
        <v>53.450133333333333</v>
      </c>
      <c r="G21" s="17">
        <f>'исх. данные'!F25/'исх. данные'!F29</f>
        <v>39.771526980482207</v>
      </c>
      <c r="H21" s="17">
        <f>'исх. данные'!G25/'исх. данные'!G29</f>
        <v>38.214963707426016</v>
      </c>
      <c r="I21" s="45">
        <f>'исх. данные'!H25/'исх. данные'!H29</f>
        <v>37.307084775086508</v>
      </c>
      <c r="J21" s="45">
        <f>'исх. данные'!I25/'исх. данные'!I29</f>
        <v>38.743821579264619</v>
      </c>
      <c r="K21" s="45">
        <f>'исх. данные'!J25/'исх. данные'!J29</f>
        <v>38.35638336347197</v>
      </c>
      <c r="L21" s="45">
        <f>'исх. данные'!K25/'исх. данные'!K29</f>
        <v>37.972819529837253</v>
      </c>
      <c r="M21" s="45">
        <f>'исх. данные'!L25/'исх. данные'!L29</f>
        <v>37.593091334538876</v>
      </c>
    </row>
    <row r="22" spans="1:13" ht="48" x14ac:dyDescent="0.25">
      <c r="A22" s="7" t="s">
        <v>41</v>
      </c>
      <c r="B22" s="14" t="s">
        <v>17</v>
      </c>
      <c r="C22" s="15" t="s">
        <v>65</v>
      </c>
      <c r="D22" s="15" t="s">
        <v>150</v>
      </c>
      <c r="E22" s="18">
        <f>'исх. данные'!D26/'исх. данные'!D29</f>
        <v>0.50711831124202256</v>
      </c>
      <c r="F22" s="18">
        <f>'исх. данные'!E26/'исх. данные'!E29</f>
        <v>0.43359999999999999</v>
      </c>
      <c r="G22" s="18">
        <f>'исх. данные'!F26/'исх. данные'!F29</f>
        <v>0.51033295063145812</v>
      </c>
      <c r="H22" s="18">
        <v>0.55600000000000005</v>
      </c>
      <c r="I22" s="46">
        <f>'исх. данные'!H26/'исх. данные'!H29</f>
        <v>1.2427831603229527</v>
      </c>
      <c r="J22" s="46">
        <f>'исх. данные'!I26/'исх. данные'!I29</f>
        <v>1.2470343580470162</v>
      </c>
      <c r="K22" s="46">
        <f>'исх. данные'!J26/'исх. данные'!J29</f>
        <v>1.2445402893309223</v>
      </c>
      <c r="L22" s="46">
        <f>'исх. данные'!K26/'исх. данные'!K29</f>
        <v>1.2420512087522604</v>
      </c>
      <c r="M22" s="46">
        <f>'исх. данные'!L26/'исх. данные'!L29</f>
        <v>1.239567106334756</v>
      </c>
    </row>
    <row r="23" spans="1:13" ht="62.25" customHeight="1" x14ac:dyDescent="0.25">
      <c r="A23" s="7" t="s">
        <v>42</v>
      </c>
      <c r="B23" s="14" t="s">
        <v>18</v>
      </c>
      <c r="C23" s="15" t="s">
        <v>65</v>
      </c>
      <c r="D23" s="15" t="s">
        <v>151</v>
      </c>
      <c r="E23" s="17">
        <f>'исх. данные'!D27/'исх. данные'!D29</f>
        <v>67.599410898379972</v>
      </c>
      <c r="F23" s="17">
        <f>'исх. данные'!E27/'исх. данные'!E29</f>
        <v>96.533333333333331</v>
      </c>
      <c r="G23" s="17">
        <f>'исх. данные'!F27/'исх. данные'!F29</f>
        <v>72.330654420206656</v>
      </c>
      <c r="H23" s="17">
        <f>'исх. данные'!G27/'исх. данные'!G29</f>
        <v>57.788944723618087</v>
      </c>
      <c r="I23" s="45">
        <f>'исх. данные'!H27/'исх. данные'!H29</f>
        <v>44.634948096885815</v>
      </c>
      <c r="J23" s="45">
        <f>'исх. данные'!I27/'исх. данные'!I29</f>
        <v>45.821579264617242</v>
      </c>
      <c r="K23" s="45">
        <f>'исх. данные'!J27/'исх. данные'!J29</f>
        <v>45.363363471971063</v>
      </c>
      <c r="L23" s="45">
        <f>'исх. данные'!K27/'исх. данные'!K29</f>
        <v>44.909729837251348</v>
      </c>
      <c r="M23" s="45">
        <f>'исх. данные'!L27/'исх. данные'!L29</f>
        <v>44.460632538878833</v>
      </c>
    </row>
    <row r="24" spans="1:13" ht="120" x14ac:dyDescent="0.25">
      <c r="A24" s="7" t="s">
        <v>43</v>
      </c>
      <c r="B24" s="14" t="s">
        <v>19</v>
      </c>
      <c r="C24" s="15" t="s">
        <v>60</v>
      </c>
      <c r="D24" s="15" t="s">
        <v>152</v>
      </c>
      <c r="E24" s="16">
        <f>'исх. данные'!D30/'исх. данные'!D31*100</f>
        <v>1700.8803521408563</v>
      </c>
      <c r="F24" s="15">
        <f>'исх. данные'!E30/'исх. данные'!E31</f>
        <v>0</v>
      </c>
      <c r="G24" s="15">
        <f>'исх. данные'!F30/'исх. данные'!F31</f>
        <v>0</v>
      </c>
      <c r="H24" s="15">
        <f>'исх. данные'!G30/'исх. данные'!G31</f>
        <v>0</v>
      </c>
      <c r="I24" s="21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ht="48" x14ac:dyDescent="0.25">
      <c r="A25" s="7" t="s">
        <v>44</v>
      </c>
      <c r="B25" s="14" t="s">
        <v>20</v>
      </c>
      <c r="C25" s="15" t="s">
        <v>62</v>
      </c>
      <c r="D25" s="15" t="s">
        <v>153</v>
      </c>
      <c r="E25" s="15">
        <v>1</v>
      </c>
      <c r="F25" s="15">
        <v>0</v>
      </c>
      <c r="G25" s="15">
        <v>0</v>
      </c>
      <c r="H25" s="15">
        <v>0</v>
      </c>
      <c r="I25" s="21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ht="24" customHeight="1" x14ac:dyDescent="0.25">
      <c r="A26" s="8">
        <v>3</v>
      </c>
      <c r="B26" s="73" t="s">
        <v>21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5"/>
    </row>
    <row r="27" spans="1:13" ht="36" x14ac:dyDescent="0.25">
      <c r="A27" s="8" t="s">
        <v>45</v>
      </c>
      <c r="B27" s="14" t="s">
        <v>22</v>
      </c>
      <c r="C27" s="15" t="s">
        <v>64</v>
      </c>
      <c r="D27" s="15" t="s">
        <v>154</v>
      </c>
      <c r="E27" s="18">
        <f>'исх. данные'!D32/'исх. данные'!D36</f>
        <v>0.12587085811384877</v>
      </c>
      <c r="F27" s="18">
        <f>'исх. данные'!E32/'исх. данные'!E36</f>
        <v>9.5569791666666667E-2</v>
      </c>
      <c r="G27" s="18">
        <f>'исх. данные'!F32/'исх. данные'!F36</f>
        <v>8.0790834431714489E-2</v>
      </c>
      <c r="H27" s="18">
        <f>'исх. данные'!G32/'исх. данные'!G36</f>
        <v>0.10862989146669322</v>
      </c>
      <c r="I27" s="46">
        <f>'исх. данные'!H32/'исх. данные'!H36</f>
        <v>0.1078774560519708</v>
      </c>
      <c r="J27" s="18">
        <f>'исх. данные'!I32/'исх. данные'!I36</f>
        <v>0.112448861218821</v>
      </c>
      <c r="K27" s="18">
        <f>'исх. данные'!J32/'исх. данные'!J36</f>
        <v>0.11032782790736993</v>
      </c>
      <c r="L27" s="18">
        <f>'исх. данные'!K32/'исх. данные'!K36</f>
        <v>0.10825558353482734</v>
      </c>
      <c r="M27" s="18">
        <f>'исх. данные'!L32/'исх. данные'!L36</f>
        <v>0.10623062170312797</v>
      </c>
    </row>
    <row r="28" spans="1:13" ht="36" x14ac:dyDescent="0.25">
      <c r="A28" s="8" t="s">
        <v>46</v>
      </c>
      <c r="B28" s="14" t="s">
        <v>23</v>
      </c>
      <c r="C28" s="15" t="s">
        <v>65</v>
      </c>
      <c r="D28" s="15" t="s">
        <v>156</v>
      </c>
      <c r="E28" s="18">
        <f>'исх. данные'!D33/'исх. данные'!D37</f>
        <v>54.953861788617886</v>
      </c>
      <c r="F28" s="18">
        <f>'исх. данные'!E33/'исх. данные'!E37</f>
        <v>60.960095448926197</v>
      </c>
      <c r="G28" s="18">
        <f>'исх. данные'!F33/'исх. данные'!F37</f>
        <v>39.612311909316738</v>
      </c>
      <c r="H28" s="18">
        <f>'исх. данные'!G33/'исх. данные'!G37</f>
        <v>35.49964552080084</v>
      </c>
      <c r="I28" s="46">
        <f>'исх. данные'!H33/'исх. данные'!H37</f>
        <v>40.361366659277323</v>
      </c>
      <c r="J28" s="18">
        <f>'исх. данные'!I33/'исх. данные'!I37</f>
        <v>45.553459639833427</v>
      </c>
      <c r="K28" s="18">
        <f>'исх. данные'!J33/'исх. данные'!J37</f>
        <v>44.949172919930731</v>
      </c>
      <c r="L28" s="18">
        <f>'исх. данные'!K33/'исх. данные'!K37</f>
        <v>44.353384877126651</v>
      </c>
      <c r="M28" s="18">
        <f>'исх. данные'!L33/'исх. данные'!L37</f>
        <v>43.765966860162195</v>
      </c>
    </row>
    <row r="29" spans="1:13" ht="36" x14ac:dyDescent="0.25">
      <c r="A29" s="8" t="s">
        <v>47</v>
      </c>
      <c r="B29" s="14" t="s">
        <v>24</v>
      </c>
      <c r="C29" s="15" t="s">
        <v>65</v>
      </c>
      <c r="D29" s="15" t="s">
        <v>157</v>
      </c>
      <c r="E29" s="18">
        <f>'исх. данные'!D34/'исх. данные'!D37</f>
        <v>9.4599303135888508</v>
      </c>
      <c r="F29" s="18">
        <f>'исх. данные'!E34/'исх. данные'!E37</f>
        <v>8.800275996895035</v>
      </c>
      <c r="G29" s="18">
        <f>'исх. данные'!F34/'исх. данные'!F37</f>
        <v>7.9976015761071295</v>
      </c>
      <c r="H29" s="18">
        <f>'исх. данные'!G34/'исх. данные'!G37</f>
        <v>6.5008082125740865</v>
      </c>
      <c r="I29" s="46">
        <f>'исх. данные'!H34/'исх. данные'!H37</f>
        <v>8.388383950343604</v>
      </c>
      <c r="J29" s="18">
        <f>'исх. данные'!I34/'исх. данные'!I37</f>
        <v>6.6437219050770802</v>
      </c>
      <c r="K29" s="18">
        <f>'исх. данные'!J34/'исх. данные'!J37</f>
        <v>6.5555900057722436</v>
      </c>
      <c r="L29" s="18">
        <f>'исх. данные'!K34/'исх. данные'!K37</f>
        <v>6.4686975918467979</v>
      </c>
      <c r="M29" s="18">
        <f>'исх. данные'!L34/'исх. данные'!L37</f>
        <v>6.3830259002211838</v>
      </c>
    </row>
    <row r="30" spans="1:13" ht="36" x14ac:dyDescent="0.25">
      <c r="A30" s="8" t="s">
        <v>48</v>
      </c>
      <c r="B30" s="14" t="s">
        <v>25</v>
      </c>
      <c r="C30" s="15" t="s">
        <v>63</v>
      </c>
      <c r="D30" s="15" t="s">
        <v>155</v>
      </c>
      <c r="E30" s="18">
        <f>'исх. данные'!D35/'исх. данные'!D36</f>
        <v>18.707837723024639</v>
      </c>
      <c r="F30" s="18">
        <f>'исх. данные'!E35/'исх. данные'!E36</f>
        <v>18.492812499999999</v>
      </c>
      <c r="G30" s="18">
        <f>'исх. данные'!F35/'исх. данные'!F36</f>
        <v>19.645848119233499</v>
      </c>
      <c r="H30" s="18">
        <f>'исх. данные'!G35/'исх. данные'!G36</f>
        <v>16.786304888977398</v>
      </c>
      <c r="I30" s="46">
        <f>'исх. данные'!H35/'исх. данные'!H36</f>
        <v>17.151548319688938</v>
      </c>
      <c r="J30" s="18">
        <f>'исх. данные'!I35/'исх. данные'!I36</f>
        <v>16.110221333782906</v>
      </c>
      <c r="K30" s="18">
        <f>'исх. данные'!J35/'исх. данные'!J36</f>
        <v>15.806347059437796</v>
      </c>
      <c r="L30" s="18">
        <f>'исх. данные'!K35/'исх. данные'!K36</f>
        <v>15.50946263448677</v>
      </c>
      <c r="M30" s="18">
        <f>'исх. данные'!L35/'исх. данные'!L36</f>
        <v>15.219352241659786</v>
      </c>
    </row>
    <row r="31" spans="1:13" ht="60" x14ac:dyDescent="0.25">
      <c r="A31" s="8" t="s">
        <v>49</v>
      </c>
      <c r="B31" s="14" t="s">
        <v>26</v>
      </c>
      <c r="C31" s="15" t="s">
        <v>171</v>
      </c>
      <c r="D31" s="15" t="s">
        <v>158</v>
      </c>
      <c r="E31" s="18">
        <f>'исх. данные'!D38/'исх. данные'!D39</f>
        <v>1.3661087866108786E-2</v>
      </c>
      <c r="F31" s="18">
        <f>'исх. данные'!E38/'исх. данные'!E39</f>
        <v>1.29E-2</v>
      </c>
      <c r="G31" s="18">
        <f>'исх. данные'!F38/'исх. данные'!F39</f>
        <v>1.2339413164155433E-2</v>
      </c>
      <c r="H31" s="18">
        <f>'исх. данные'!G38/'исх. данные'!G39</f>
        <v>1.9709908878813225E-2</v>
      </c>
      <c r="I31" s="46">
        <f>'исх. данные'!H38/'исх. данные'!H39</f>
        <v>2.1615536182315001E-2</v>
      </c>
      <c r="J31" s="18">
        <f>'исх. данные'!I38/'исх. данные'!I39</f>
        <v>1.7947091461492495E-2</v>
      </c>
      <c r="K31" s="18">
        <f>'исх. данные'!J38/'исх. данные'!J39</f>
        <v>1.7726604940100605E-2</v>
      </c>
      <c r="L31" s="18">
        <f>'исх. данные'!K38/'исх. данные'!K39</f>
        <v>1.7517355529060114E-2</v>
      </c>
      <c r="M31" s="18">
        <f>'исх. данные'!L38/'исх. данные'!L39</f>
        <v>1.7318647644276836E-2</v>
      </c>
    </row>
    <row r="32" spans="1:13" ht="48" x14ac:dyDescent="0.25">
      <c r="A32" s="8" t="s">
        <v>50</v>
      </c>
      <c r="B32" s="14" t="s">
        <v>27</v>
      </c>
      <c r="C32" s="15" t="s">
        <v>66</v>
      </c>
      <c r="D32" s="15" t="s">
        <v>159</v>
      </c>
      <c r="E32" s="18">
        <f>'исх. данные'!D40/'исх. данные'!D41</f>
        <v>0.33477145874189168</v>
      </c>
      <c r="F32" s="18">
        <f>'исх. данные'!E40/'исх. данные'!E41</f>
        <v>0.33061531517978038</v>
      </c>
      <c r="G32" s="18">
        <f>'исх. данные'!F40/'исх. данные'!F41</f>
        <v>0.25377443609022554</v>
      </c>
      <c r="H32" s="18">
        <f>'исх. данные'!G40/'исх. данные'!G41</f>
        <v>0.17792072095605041</v>
      </c>
      <c r="I32" s="46">
        <f>'исх. данные'!H40/'исх. данные'!H41</f>
        <v>0.16674547456364755</v>
      </c>
      <c r="J32" s="18">
        <f>'исх. данные'!I40/'исх. данные'!I41</f>
        <v>0.16644710071210581</v>
      </c>
      <c r="K32" s="18">
        <f>'исх. данные'!J40/'исх. данные'!J41</f>
        <v>0.16446891737530142</v>
      </c>
      <c r="L32" s="18">
        <f>'исх. данные'!K40/'исх. данные'!K41</f>
        <v>0.16251483329110716</v>
      </c>
      <c r="M32" s="18">
        <f>'исх. данные'!L40/'исх. данные'!L41</f>
        <v>0.16058454584144646</v>
      </c>
    </row>
    <row r="33" spans="1:13" ht="36" x14ac:dyDescent="0.25">
      <c r="A33" s="8" t="s">
        <v>51</v>
      </c>
      <c r="B33" s="14" t="s">
        <v>28</v>
      </c>
      <c r="C33" s="15" t="s">
        <v>172</v>
      </c>
      <c r="D33" s="15" t="s">
        <v>160</v>
      </c>
      <c r="E33" s="19">
        <f>'исх. данные'!D42/'исх. данные'!D36</f>
        <v>2.3190533609515722E-3</v>
      </c>
      <c r="F33" s="19">
        <f>'исх. данные'!E42/'исх. данные'!E36</f>
        <v>2.2882779853666668E-3</v>
      </c>
      <c r="G33" s="19">
        <f>'исх. данные'!F42/'исх. данные'!F36</f>
        <v>2.4279877607056681E-3</v>
      </c>
      <c r="H33" s="19">
        <f>'исх. данные'!G42/'исх. данные'!G36</f>
        <v>2.0802360392711346E-3</v>
      </c>
      <c r="I33" s="47">
        <f>'исх. данные'!H42/'исх. данные'!H36</f>
        <v>2.1250539530379988E-3</v>
      </c>
      <c r="J33" s="19">
        <f>'исх. данные'!I42/'исх. данные'!I36</f>
        <v>1.9976240638807674E-3</v>
      </c>
      <c r="K33" s="19">
        <f>'исх. данные'!J42/'исх. данные'!J36</f>
        <v>1.9599445350396735E-3</v>
      </c>
      <c r="L33" s="19">
        <f>'исх. данные'!K42/'исх. данные'!K36</f>
        <v>1.9231317275850881E-3</v>
      </c>
      <c r="M33" s="19">
        <f>'исх. данные'!L42/'исх. данные'!L36</f>
        <v>1.8871588807922999E-3</v>
      </c>
    </row>
    <row r="34" spans="1:13" ht="20.25" customHeight="1" x14ac:dyDescent="0.25">
      <c r="A34" s="7">
        <v>4</v>
      </c>
      <c r="B34" s="73" t="s">
        <v>29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5"/>
    </row>
    <row r="35" spans="1:13" ht="42" customHeight="1" x14ac:dyDescent="0.25">
      <c r="A35" s="7" t="s">
        <v>52</v>
      </c>
      <c r="B35" s="14" t="s">
        <v>30</v>
      </c>
      <c r="C35" s="15" t="s">
        <v>67</v>
      </c>
      <c r="D35" s="15" t="s">
        <v>161</v>
      </c>
      <c r="E35" s="16">
        <f>'исх. данные'!D43/'исх. данные'!D44</f>
        <v>159759.82532751092</v>
      </c>
      <c r="F35" s="16">
        <f>'исх. данные'!E43/'исх. данные'!E44</f>
        <v>165245.45454545456</v>
      </c>
      <c r="G35" s="16">
        <f>'исх. данные'!F43/'исх. данные'!F44</f>
        <v>174538.81278538812</v>
      </c>
      <c r="H35" s="16">
        <f>'исх. данные'!G43/'исх. данные'!G44</f>
        <v>161531.57894736843</v>
      </c>
      <c r="I35" s="44">
        <f>'исх. данные'!H43/'исх. данные'!H44</f>
        <v>171290.64039408867</v>
      </c>
      <c r="J35" s="44">
        <f>'исх. данные'!I43/'исх. данные'!I44</f>
        <v>169431.37254901961</v>
      </c>
      <c r="K35" s="44">
        <f>'исх. данные'!J43/'исх. данные'!J44</f>
        <v>168800.50198604146</v>
      </c>
      <c r="L35" s="44">
        <f>'исх. данные'!K43/'исх. данные'!K44</f>
        <v>168171.98044297175</v>
      </c>
      <c r="M35" s="44">
        <f>'исх. данные'!L43/'исх. данные'!L44</f>
        <v>167545.79917333403</v>
      </c>
    </row>
    <row r="36" spans="1:13" ht="38.25" customHeight="1" x14ac:dyDescent="0.25">
      <c r="A36" s="7" t="s">
        <v>53</v>
      </c>
      <c r="B36" s="14" t="s">
        <v>31</v>
      </c>
      <c r="C36" s="15" t="s">
        <v>68</v>
      </c>
      <c r="D36" s="15" t="s">
        <v>162</v>
      </c>
      <c r="E36" s="19">
        <f>'исх. данные'!D45/'исх. данные'!D46</f>
        <v>0.16597409277331854</v>
      </c>
      <c r="F36" s="19">
        <f>'исх. данные'!E45/'исх. данные'!E46</f>
        <v>0.16551016968198673</v>
      </c>
      <c r="G36" s="19">
        <f>'исх. данные'!F45/'исх. данные'!F46</f>
        <v>0.16492861237749448</v>
      </c>
      <c r="H36" s="19">
        <f>'исх. данные'!G45/'исх. данные'!G46</f>
        <v>0.16707806491696472</v>
      </c>
      <c r="I36" s="47">
        <f>'исх. данные'!H45/'исх. данные'!H46</f>
        <v>0.16424941774295998</v>
      </c>
      <c r="J36" s="47">
        <f>'исх. данные'!I45/'исх. данные'!I46</f>
        <v>0.1626010905486901</v>
      </c>
      <c r="K36" s="47">
        <f>'исх. данные'!J45/'исх. данные'!J46</f>
        <v>0.16250000000000001</v>
      </c>
      <c r="L36" s="47">
        <f>'исх. данные'!K45/'исх. данные'!K46</f>
        <v>0.16200000000000001</v>
      </c>
      <c r="M36" s="47">
        <f>'исх. данные'!L45/'исх. данные'!L46</f>
        <v>0.1615</v>
      </c>
    </row>
    <row r="37" spans="1:13" ht="36" x14ac:dyDescent="0.25">
      <c r="A37" s="7" t="s">
        <v>54</v>
      </c>
      <c r="B37" s="14" t="s">
        <v>32</v>
      </c>
      <c r="C37" s="15" t="s">
        <v>173</v>
      </c>
      <c r="D37" s="15" t="s">
        <v>163</v>
      </c>
      <c r="E37" s="18">
        <f>'исх. данные'!D47/'исх. данные'!D48</f>
        <v>0.35283146829433704</v>
      </c>
      <c r="F37" s="18">
        <f>'исх. данные'!E47/'исх. данные'!E48</f>
        <v>0.32529575766709368</v>
      </c>
      <c r="G37" s="18">
        <f>'исх. данные'!F47/'исх. данные'!F48</f>
        <v>0.33569722845357841</v>
      </c>
      <c r="H37" s="18">
        <f>'исх. данные'!G47/'исх. данные'!G48</f>
        <v>0.4990419787493468</v>
      </c>
      <c r="I37" s="46">
        <f>'исх. данные'!H47/'исх. данные'!H48</f>
        <v>0.47640947546531304</v>
      </c>
      <c r="J37" s="18">
        <f>'исх. данные'!I47/'исх. данные'!I48</f>
        <v>0.47803852912742079</v>
      </c>
      <c r="K37" s="18">
        <f>'исх. данные'!J47/'исх. данные'!J48</f>
        <v>0.47499999999999998</v>
      </c>
      <c r="L37" s="18">
        <f>'исх. данные'!K47/'исх. данные'!K48</f>
        <v>0.47300000000000003</v>
      </c>
      <c r="M37" s="18">
        <f>'исх. данные'!L47/'исх. данные'!L48</f>
        <v>0.47</v>
      </c>
    </row>
    <row r="38" spans="1:13" ht="36" x14ac:dyDescent="0.25">
      <c r="A38" s="7" t="s">
        <v>55</v>
      </c>
      <c r="B38" s="14" t="s">
        <v>33</v>
      </c>
      <c r="C38" s="15" t="s">
        <v>60</v>
      </c>
      <c r="D38" s="15" t="s">
        <v>164</v>
      </c>
      <c r="E38" s="17">
        <f>'исх. данные'!D49/'исх. данные'!D50*100</f>
        <v>4.445450671212444</v>
      </c>
      <c r="F38" s="17">
        <f>'исх. данные'!E49/'исх. данные'!E50*100</f>
        <v>4.4766220049816337</v>
      </c>
      <c r="G38" s="17">
        <f>'исх. данные'!F49/'исх. данные'!F50*100</f>
        <v>4.3986989909906171</v>
      </c>
      <c r="H38" s="17">
        <f>'исх. данные'!G49/'исх. данные'!G50*100</f>
        <v>9.7005351352776277</v>
      </c>
      <c r="I38" s="45">
        <f>'исх. данные'!H49/'исх. данные'!H50*100</f>
        <v>14.621335116034761</v>
      </c>
      <c r="J38" s="17">
        <f>'исх. данные'!I49/'исх. данные'!I50*100</f>
        <v>14.58495978385081</v>
      </c>
      <c r="K38" s="17">
        <f>'исх. данные'!J49/'исх. данные'!J50*100</f>
        <v>14.56</v>
      </c>
      <c r="L38" s="17">
        <f>'исх. данные'!K49/'исх. данные'!K50*100</f>
        <v>14.549999999999999</v>
      </c>
      <c r="M38" s="17">
        <f>'исх. данные'!L49/'исх. данные'!L50*100</f>
        <v>14.529999999999998</v>
      </c>
    </row>
    <row r="39" spans="1:13" ht="48" x14ac:dyDescent="0.25">
      <c r="A39" s="7" t="s">
        <v>56</v>
      </c>
      <c r="B39" s="14" t="s">
        <v>34</v>
      </c>
      <c r="C39" s="15" t="s">
        <v>60</v>
      </c>
      <c r="D39" s="15" t="s">
        <v>165</v>
      </c>
      <c r="E39" s="17">
        <f>('исх. данные'!D51/('исх. данные'!D51+'исх. данные'!D13+4))*100</f>
        <v>9.3107617896009671</v>
      </c>
      <c r="F39" s="17">
        <f>('исх. данные'!E51/('исх. данные'!E51+'исх. данные'!E13+4))*100</f>
        <v>9.5670764297167299</v>
      </c>
      <c r="G39" s="17">
        <f>('исх. данные'!F51/('исх. данные'!F51+'исх. данные'!F13+4))*100</f>
        <v>9.085841694537347</v>
      </c>
      <c r="H39" s="17">
        <f>('исх. данные'!G51/('исх. данные'!G51+'исх. данные'!G13+4))*100</f>
        <v>9.0909090909090917</v>
      </c>
      <c r="I39" s="45">
        <f>('исх. данные'!H51/('исх. данные'!H51+'исх. данные'!H13+'исх. данные'!H14))*100</f>
        <v>8.3249748689300915</v>
      </c>
      <c r="J39" s="45">
        <f>('исх. данные'!I51/('исх. данные'!I51+'исх. данные'!I13+'исх. данные'!I14))*100</f>
        <v>8.2264066667186029</v>
      </c>
      <c r="K39" s="45">
        <f>('исх. данные'!J51/('исх. данные'!J51+'исх. данные'!J13+'исх. данные'!J14))*100</f>
        <v>8.2111522750245616</v>
      </c>
      <c r="L39" s="45">
        <f>('исх. данные'!K51/('исх. данные'!K51+'исх. данные'!K13+'исх. данные'!K14))*100</f>
        <v>8.188307432954991</v>
      </c>
      <c r="M39" s="45">
        <f>('исх. данные'!L51/('исх. данные'!L51+'исх. данные'!L13+'исх. данные'!L14))*100</f>
        <v>8.1579223352903458</v>
      </c>
    </row>
    <row r="40" spans="1:13" ht="48" x14ac:dyDescent="0.25">
      <c r="A40" s="7" t="s">
        <v>57</v>
      </c>
      <c r="B40" s="14" t="s">
        <v>35</v>
      </c>
      <c r="C40" s="15" t="s">
        <v>174</v>
      </c>
      <c r="D40" s="15" t="s">
        <v>169</v>
      </c>
      <c r="E40" s="18">
        <f>'исх. данные'!D52/('исх. данные'!D51+'исх. данные'!D13+'исх. данные'!D14)</f>
        <v>0.62311989686291358</v>
      </c>
      <c r="F40" s="18">
        <f>'исх. данные'!E52/('исх. данные'!E51+'исх. данные'!E13+'исх. данные'!E14)</f>
        <v>0.6692725555030703</v>
      </c>
      <c r="G40" s="18">
        <f>'исх. данные'!F52/('исх. данные'!F51+'исх. данные'!F13+'исх. данные'!F14)</f>
        <v>0.64831474597273853</v>
      </c>
      <c r="H40" s="18">
        <f>'исх. данные'!G52/('исх. данные'!G51+'исх. данные'!G13+'исх. данные'!G14)</f>
        <v>0.75086875167067624</v>
      </c>
      <c r="I40" s="46">
        <f>'исх. данные'!H52/('исх. данные'!H51+'исх. данные'!H13+'исх. данные'!H14)</f>
        <v>0.4960793860641779</v>
      </c>
      <c r="J40" s="18">
        <f>'исх. данные'!I52/('исх. данные'!I51+'исх. данные'!I13+'исх. данные'!I14)</f>
        <v>0.43939264095232894</v>
      </c>
      <c r="K40" s="18">
        <f>'исх. данные'!J52/('исх. данные'!J51+'исх. данные'!J13+'исх. данные'!J14)</f>
        <v>0.43813396159878881</v>
      </c>
      <c r="L40" s="18">
        <f>'исх. данные'!K52/('исх. данные'!K51+'исх. данные'!K13+'исх. данные'!K14)</f>
        <v>0.43647232763513855</v>
      </c>
      <c r="M40" s="18">
        <f>'исх. данные'!L52/('исх. данные'!L51+'исх. данные'!L13+'исх. данные'!L14)</f>
        <v>0.43441164299396262</v>
      </c>
    </row>
    <row r="41" spans="1:13" ht="36" x14ac:dyDescent="0.25">
      <c r="A41" s="7" t="s">
        <v>58</v>
      </c>
      <c r="B41" s="14" t="s">
        <v>36</v>
      </c>
      <c r="C41" s="15" t="s">
        <v>69</v>
      </c>
      <c r="D41" s="15" t="s">
        <v>166</v>
      </c>
      <c r="E41" s="18">
        <f>'исх. данные'!D53/'исх. данные'!D54</f>
        <v>0.57479826194909989</v>
      </c>
      <c r="F41" s="18">
        <f>'исх. данные'!E53/'исх. данные'!E54</f>
        <v>0.61280487804878048</v>
      </c>
      <c r="G41" s="18">
        <f>'исх. данные'!F53/'исх. данные'!F54</f>
        <v>0.67309090909090907</v>
      </c>
      <c r="H41" s="18">
        <f>'исх. данные'!G53/'исх. данные'!G54</f>
        <v>0.64369114877589451</v>
      </c>
      <c r="I41" s="46">
        <f>'исх. данные'!H53/'исх. данные'!H54</f>
        <v>0.58413266447263323</v>
      </c>
      <c r="J41" s="18">
        <f>'исх. данные'!I53/'исх. данные'!I54</f>
        <v>0.63216623534784588</v>
      </c>
      <c r="K41" s="18">
        <f>'исх. данные'!J53/'исх. данные'!J54</f>
        <v>0.63</v>
      </c>
      <c r="L41" s="18">
        <f>'исх. данные'!K53/'исх. данные'!K54</f>
        <v>0.629</v>
      </c>
      <c r="M41" s="18">
        <f>'исх. данные'!L53/'исх. данные'!L54</f>
        <v>0.628</v>
      </c>
    </row>
    <row r="42" spans="1:13" ht="60" x14ac:dyDescent="0.25">
      <c r="A42" s="7" t="s">
        <v>59</v>
      </c>
      <c r="B42" s="14" t="s">
        <v>37</v>
      </c>
      <c r="C42" s="15" t="s">
        <v>63</v>
      </c>
      <c r="D42" s="15" t="s">
        <v>167</v>
      </c>
      <c r="E42" s="18">
        <f>'исх. данные'!D55/'исх. данные'!D56</f>
        <v>1.6288282250169441</v>
      </c>
      <c r="F42" s="18">
        <f>'исх. данные'!E55/'исх. данные'!E56</f>
        <v>1.0987965961292265</v>
      </c>
      <c r="G42" s="18">
        <f>'исх. данные'!F55/'исх. данные'!F56</f>
        <v>1.1210309511258378</v>
      </c>
      <c r="H42" s="18">
        <f>'исх. данные'!G55/'исх. данные'!G56</f>
        <v>1.308160391566265</v>
      </c>
      <c r="I42" s="46">
        <f>'исх. данные'!H55/'исх. данные'!H56</f>
        <v>1.303665386642572</v>
      </c>
      <c r="J42" s="18">
        <f>'исх. данные'!I55/'исх. данные'!I56</f>
        <v>1.3411949401400496</v>
      </c>
      <c r="K42" s="18">
        <f>'исх. данные'!J55/'исх. данные'!J56</f>
        <v>1.3385125502597695</v>
      </c>
      <c r="L42" s="18">
        <f>'исх. данные'!K55/'исх. данные'!K56</f>
        <v>1.33583552515925</v>
      </c>
      <c r="M42" s="18">
        <f>'исх. данные'!L55/'исх. данные'!L56</f>
        <v>1.3331638541089315</v>
      </c>
    </row>
    <row r="43" spans="1:13" ht="20.25" customHeight="1" x14ac:dyDescent="0.25">
      <c r="A43" s="9">
        <v>5</v>
      </c>
      <c r="B43" s="62" t="s">
        <v>123</v>
      </c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</row>
    <row r="44" spans="1:13" ht="192" customHeight="1" x14ac:dyDescent="0.25">
      <c r="A44" s="10" t="s">
        <v>126</v>
      </c>
      <c r="B44" s="20" t="s">
        <v>124</v>
      </c>
      <c r="C44" s="21" t="s">
        <v>62</v>
      </c>
      <c r="D44" s="15" t="s">
        <v>153</v>
      </c>
      <c r="E44" s="15">
        <v>0</v>
      </c>
      <c r="F44" s="15">
        <v>0</v>
      </c>
      <c r="G44" s="15">
        <v>0</v>
      </c>
      <c r="H44" s="15">
        <v>0</v>
      </c>
      <c r="I44" s="21">
        <v>0</v>
      </c>
      <c r="J44" s="15">
        <v>0</v>
      </c>
      <c r="K44" s="15">
        <v>0</v>
      </c>
      <c r="L44" s="15">
        <v>0</v>
      </c>
      <c r="M44" s="15">
        <v>0</v>
      </c>
    </row>
    <row r="45" spans="1:13" ht="78" customHeight="1" x14ac:dyDescent="0.25">
      <c r="A45" s="10" t="s">
        <v>127</v>
      </c>
      <c r="B45" s="14" t="s">
        <v>125</v>
      </c>
      <c r="C45" s="21" t="s">
        <v>62</v>
      </c>
      <c r="D45" s="15" t="s">
        <v>153</v>
      </c>
      <c r="E45" s="15">
        <v>0</v>
      </c>
      <c r="F45" s="15">
        <v>0</v>
      </c>
      <c r="G45" s="15">
        <v>0</v>
      </c>
      <c r="H45" s="15">
        <v>0</v>
      </c>
      <c r="I45" s="21">
        <v>0</v>
      </c>
      <c r="J45" s="15">
        <v>0</v>
      </c>
      <c r="K45" s="15">
        <v>0</v>
      </c>
      <c r="L45" s="15">
        <v>0</v>
      </c>
      <c r="M45" s="15">
        <v>0</v>
      </c>
    </row>
    <row r="46" spans="1:13" x14ac:dyDescent="0.25">
      <c r="A46" s="11"/>
      <c r="B46" s="12"/>
      <c r="C46" s="12"/>
      <c r="D46" s="12"/>
      <c r="E46" s="12"/>
      <c r="F46" s="12"/>
      <c r="G46" s="12"/>
      <c r="H46" s="12"/>
      <c r="I46" s="48"/>
      <c r="J46" s="12"/>
      <c r="K46" s="12"/>
      <c r="L46" s="12"/>
      <c r="M46" s="12"/>
    </row>
    <row r="47" spans="1:13" x14ac:dyDescent="0.25">
      <c r="A47" s="11"/>
      <c r="B47" s="12"/>
      <c r="C47" s="12"/>
      <c r="D47" s="12"/>
      <c r="E47" s="12"/>
      <c r="F47" s="12"/>
      <c r="G47" s="12"/>
      <c r="H47" s="12"/>
      <c r="I47" s="48"/>
      <c r="J47" s="12"/>
      <c r="K47" s="12"/>
      <c r="L47" s="12"/>
      <c r="M47" s="12"/>
    </row>
    <row r="48" spans="1:13" x14ac:dyDescent="0.25">
      <c r="A48" s="11"/>
      <c r="B48" s="11"/>
      <c r="C48" s="11"/>
      <c r="D48" s="11"/>
      <c r="E48" s="11"/>
      <c r="F48" s="11"/>
      <c r="G48" s="11"/>
      <c r="H48" s="11"/>
      <c r="I48" s="49"/>
      <c r="J48" s="11"/>
      <c r="K48" s="11"/>
      <c r="L48" s="11"/>
      <c r="M48" s="11"/>
    </row>
  </sheetData>
  <mergeCells count="18">
    <mergeCell ref="K1:M1"/>
    <mergeCell ref="K3:M3"/>
    <mergeCell ref="D5:M5"/>
    <mergeCell ref="D6:M6"/>
    <mergeCell ref="D7:M7"/>
    <mergeCell ref="K4:M4"/>
    <mergeCell ref="F2:M2"/>
    <mergeCell ref="G9:M9"/>
    <mergeCell ref="B43:M43"/>
    <mergeCell ref="A8:M8"/>
    <mergeCell ref="B11:M11"/>
    <mergeCell ref="A9:A10"/>
    <mergeCell ref="B9:B10"/>
    <mergeCell ref="C9:C10"/>
    <mergeCell ref="D9:D10"/>
    <mergeCell ref="B18:M18"/>
    <mergeCell ref="B26:M26"/>
    <mergeCell ref="B34:M34"/>
  </mergeCells>
  <phoneticPr fontId="6" type="noConversion"/>
  <pageMargins left="0.31496062992125984" right="0.31496062992125984" top="0.55118110236220474" bottom="0.15748031496062992" header="0.11811023622047245" footer="0.11811023622047245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исх. данные</vt:lpstr>
      <vt:lpstr>приложение 10 </vt:lpstr>
      <vt:lpstr>'исх. данные'!Заголовки_для_печати</vt:lpstr>
      <vt:lpstr>'приложение 10 '!Заголовки_для_печати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206MO</dc:creator>
  <cp:lastModifiedBy>MO206</cp:lastModifiedBy>
  <cp:lastPrinted>2018-09-26T07:14:01Z</cp:lastPrinted>
  <dcterms:created xsi:type="dcterms:W3CDTF">2015-02-13T07:33:04Z</dcterms:created>
  <dcterms:modified xsi:type="dcterms:W3CDTF">2018-09-26T07:14:54Z</dcterms:modified>
</cp:coreProperties>
</file>